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eferat09\Team09-01\Assistenzkräfte\Aktuelle Vordrucke\Kalkulation Hilfskräfte\"/>
    </mc:Choice>
  </mc:AlternateContent>
  <bookViews>
    <workbookView xWindow="0" yWindow="0" windowWidth="28800" windowHeight="9300"/>
  </bookViews>
  <sheets>
    <sheet name="Berechnung" sheetId="1" r:id="rId1"/>
    <sheet name="Vergütungstabell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2" i="1"/>
  <c r="D13" i="1" s="1"/>
  <c r="B57" i="2"/>
  <c r="E57" i="2" s="1"/>
  <c r="F57" i="2" s="1"/>
  <c r="B56" i="2"/>
  <c r="B55" i="2"/>
  <c r="E54" i="2"/>
  <c r="B54" i="2"/>
  <c r="F54" i="2" s="1"/>
  <c r="B53" i="2"/>
  <c r="E52" i="2"/>
  <c r="F52" i="2" s="1"/>
  <c r="B52" i="2"/>
  <c r="B51" i="2"/>
  <c r="B50" i="2"/>
  <c r="B49" i="2"/>
  <c r="E49" i="2" s="1"/>
  <c r="F49" i="2" s="1"/>
  <c r="B48" i="2"/>
  <c r="E48" i="2" s="1"/>
  <c r="B47" i="2"/>
  <c r="B46" i="2"/>
  <c r="E45" i="2"/>
  <c r="F45" i="2" s="1"/>
  <c r="B45" i="2"/>
  <c r="C45" i="2" s="1"/>
  <c r="D45" i="2" s="1"/>
  <c r="B44" i="2"/>
  <c r="E44" i="2" s="1"/>
  <c r="B43" i="2"/>
  <c r="E43" i="2" s="1"/>
  <c r="F43" i="2" s="1"/>
  <c r="D14" i="1" l="1"/>
  <c r="F50" i="2"/>
  <c r="F53" i="2"/>
  <c r="E55" i="2"/>
  <c r="F55" i="2" s="1"/>
  <c r="E47" i="2"/>
  <c r="F47" i="2" s="1"/>
  <c r="C44" i="2"/>
  <c r="E53" i="2"/>
  <c r="E56" i="2"/>
  <c r="F56" i="2" s="1"/>
  <c r="C43" i="2"/>
  <c r="F44" i="2"/>
  <c r="D46" i="2"/>
  <c r="F48" i="2"/>
  <c r="E51" i="2"/>
  <c r="F51" i="2" s="1"/>
  <c r="E50" i="2"/>
  <c r="C46" i="2"/>
  <c r="D44" i="2"/>
  <c r="D43" i="2"/>
  <c r="E46" i="2"/>
  <c r="F46" i="2" s="1"/>
  <c r="F23" i="2" l="1"/>
  <c r="G23" i="2" s="1"/>
  <c r="E23" i="2"/>
  <c r="B23" i="2"/>
  <c r="E22" i="2"/>
  <c r="B22" i="2"/>
  <c r="E21" i="2"/>
  <c r="B21" i="2"/>
  <c r="F21" i="2" s="1"/>
  <c r="G21" i="2" s="1"/>
  <c r="E20" i="2"/>
  <c r="B20" i="2"/>
  <c r="F19" i="2"/>
  <c r="G19" i="2" s="1"/>
  <c r="E19" i="2"/>
  <c r="B19" i="2"/>
  <c r="E18" i="2"/>
  <c r="B18" i="2"/>
  <c r="F17" i="2"/>
  <c r="G17" i="2" s="1"/>
  <c r="E17" i="2"/>
  <c r="B17" i="2"/>
  <c r="E16" i="2"/>
  <c r="B16" i="2"/>
  <c r="E15" i="2"/>
  <c r="B15" i="2"/>
  <c r="E14" i="2"/>
  <c r="B14" i="2"/>
  <c r="F14" i="2" s="1"/>
  <c r="G14" i="2" s="1"/>
  <c r="E13" i="2"/>
  <c r="B13" i="2"/>
  <c r="C13" i="2" s="1"/>
  <c r="D13" i="2" s="1"/>
  <c r="E12" i="2"/>
  <c r="B12" i="2"/>
  <c r="E11" i="2"/>
  <c r="B11" i="2"/>
  <c r="F10" i="2"/>
  <c r="G10" i="2" s="1"/>
  <c r="E10" i="2"/>
  <c r="B10" i="2"/>
  <c r="F9" i="2"/>
  <c r="G9" i="2" s="1"/>
  <c r="E9" i="2"/>
  <c r="B9" i="2"/>
  <c r="C9" i="2" s="1"/>
  <c r="D9" i="2" s="1"/>
  <c r="F13" i="2" l="1"/>
  <c r="G13" i="2" s="1"/>
  <c r="G22" i="2"/>
  <c r="D10" i="2"/>
  <c r="C12" i="2"/>
  <c r="D12" i="2" s="1"/>
  <c r="C16" i="2"/>
  <c r="C11" i="2"/>
  <c r="C15" i="2"/>
  <c r="D11" i="2"/>
  <c r="F12" i="2"/>
  <c r="G12" i="2" s="1"/>
  <c r="D15" i="2"/>
  <c r="F16" i="2"/>
  <c r="G16" i="2" s="1"/>
  <c r="F18" i="2"/>
  <c r="G18" i="2" s="1"/>
  <c r="F20" i="2"/>
  <c r="G20" i="2" s="1"/>
  <c r="F22" i="2"/>
  <c r="C10" i="2"/>
  <c r="C14" i="2"/>
  <c r="D14" i="2" s="1"/>
  <c r="F11" i="2"/>
  <c r="G11" i="2" s="1"/>
  <c r="F15" i="2"/>
  <c r="G15" i="2" s="1"/>
  <c r="D16" i="2" l="1"/>
  <c r="I32" i="1"/>
  <c r="I5" i="1" l="1"/>
  <c r="I26" i="1" s="1"/>
  <c r="I41" i="1" l="1"/>
  <c r="I28" i="1"/>
  <c r="I29" i="1"/>
  <c r="I30" i="1" s="1"/>
  <c r="I27" i="1"/>
  <c r="I35" i="1" s="1"/>
  <c r="I8" i="1"/>
  <c r="I7" i="1"/>
  <c r="I13" i="1" s="1"/>
  <c r="I19" i="1"/>
  <c r="I6" i="1"/>
  <c r="I20" i="1" l="1"/>
  <c r="I23" i="1" s="1"/>
  <c r="I31" i="1"/>
  <c r="I42" i="1"/>
  <c r="I10" i="1"/>
  <c r="I9" i="1" s="1"/>
  <c r="I18" i="1" l="1"/>
  <c r="I17" i="1" s="1"/>
  <c r="I16" i="1" s="1"/>
  <c r="I22" i="1"/>
  <c r="I15" i="1"/>
  <c r="I37" i="1"/>
  <c r="I45" i="1"/>
  <c r="I40" i="1"/>
  <c r="I39" i="1" s="1"/>
  <c r="I38" i="1" s="1"/>
  <c r="I44" i="1"/>
  <c r="I11" i="1" l="1"/>
  <c r="I12" i="1" s="1"/>
  <c r="I33" i="1"/>
  <c r="I34" i="1" s="1"/>
  <c r="I21" i="1"/>
  <c r="I43" i="1"/>
  <c r="G14" i="1" l="1"/>
</calcChain>
</file>

<file path=xl/sharedStrings.xml><?xml version="1.0" encoding="utf-8"?>
<sst xmlns="http://schemas.openxmlformats.org/spreadsheetml/2006/main" count="94" uniqueCount="63">
  <si>
    <t>Beschäftigungsbeginn</t>
  </si>
  <si>
    <t>Monatsbeginn Beschäftigungsbeginn</t>
  </si>
  <si>
    <t>Tage im Beginnmonat</t>
  </si>
  <si>
    <t>Jahresbeginn</t>
  </si>
  <si>
    <t>Volle Monate vor Beschäftigungsbeginn</t>
  </si>
  <si>
    <t>Teilmonate vor Beschäftigungsbeginn</t>
  </si>
  <si>
    <t>Monate im relevanten Jahr</t>
  </si>
  <si>
    <t>Volle Monate im relevanten Jahr</t>
  </si>
  <si>
    <t>Volle Monate nach Beschäftigungsende</t>
  </si>
  <si>
    <t>Teilmonate nach Beschäftigungsende</t>
  </si>
  <si>
    <t>Monatsende Beschäftigungsende</t>
  </si>
  <si>
    <t>Tage im Endmonat (sofern im gleichen Jahr)</t>
  </si>
  <si>
    <t>Jahresende</t>
  </si>
  <si>
    <t>Ende des Beschäftigungsverhältnisses im relevanten Jahr</t>
  </si>
  <si>
    <t>Resttage Beginnmonat</t>
  </si>
  <si>
    <t>Resttage Beschäftigungsende</t>
  </si>
  <si>
    <t>Tage seit Monatsbeginn im Endmonat</t>
  </si>
  <si>
    <t>Eingabefeld</t>
  </si>
  <si>
    <t>Monatsbrutto gem. Tariftabelle (100%)</t>
  </si>
  <si>
    <t>Jahr Beginn</t>
  </si>
  <si>
    <t>Jahr Ende</t>
  </si>
  <si>
    <t>Folgejahr</t>
  </si>
  <si>
    <t>monatliche Vergütung</t>
  </si>
  <si>
    <t>Vergütung der studentischen Hilfskräfte/Tutorinnen/Tutoren 10,00 € / Std.</t>
  </si>
  <si>
    <t xml:space="preserve"> </t>
  </si>
  <si>
    <t>Arbeitszeit</t>
  </si>
  <si>
    <t xml:space="preserve">mtl. Pauschalbeitrag </t>
  </si>
  <si>
    <t>mtl. Vergütung incl.</t>
  </si>
  <si>
    <t>5,58 Euro pro Std.</t>
  </si>
  <si>
    <t>mtl. Beitrag zur Renten-</t>
  </si>
  <si>
    <t>(Wochenstunden)</t>
  </si>
  <si>
    <r>
      <t xml:space="preserve">ohne Beiträge </t>
    </r>
    <r>
      <rPr>
        <b/>
        <sz val="10"/>
        <rFont val="Myriad Pro"/>
        <family val="2"/>
      </rPr>
      <t>*I</t>
    </r>
  </si>
  <si>
    <r>
      <t xml:space="preserve">zur 
Sozialversicherung </t>
    </r>
    <r>
      <rPr>
        <b/>
        <sz val="10"/>
        <rFont val="Myriad Pro"/>
        <family val="2"/>
      </rPr>
      <t>*II</t>
    </r>
  </si>
  <si>
    <t>Sozialversicherung</t>
  </si>
  <si>
    <r>
      <t xml:space="preserve">versicherung (9,30%) </t>
    </r>
    <r>
      <rPr>
        <b/>
        <sz val="10"/>
        <rFont val="Myriad Pro"/>
        <family val="2"/>
      </rPr>
      <t>*III</t>
    </r>
  </si>
  <si>
    <t>Rentenversicherung</t>
  </si>
  <si>
    <r>
      <t xml:space="preserve">*I </t>
    </r>
    <r>
      <rPr>
        <sz val="10"/>
        <rFont val="Myriad Pro"/>
        <family val="2"/>
      </rPr>
      <t xml:space="preserve">   10,00 € x 4,348 (durchschnittl. Wochenfaktor) x Arbeitszeit.</t>
    </r>
  </si>
  <si>
    <r>
      <t>*II</t>
    </r>
    <r>
      <rPr>
        <sz val="10"/>
        <rFont val="Myriad Pro"/>
        <family val="2"/>
      </rPr>
      <t xml:space="preserve">   bis </t>
    </r>
    <r>
      <rPr>
        <b/>
        <sz val="10"/>
        <rFont val="Myriad Pro"/>
        <family val="2"/>
      </rPr>
      <t>450,00  €</t>
    </r>
    <r>
      <rPr>
        <sz val="10"/>
        <rFont val="Myriad Pro"/>
        <family val="2"/>
      </rPr>
      <t xml:space="preserve"> ist ein monatlicher Pauschalbeitrag von</t>
    </r>
    <r>
      <rPr>
        <b/>
        <sz val="10"/>
        <rFont val="Myriad Pro"/>
        <family val="2"/>
      </rPr>
      <t xml:space="preserve"> 28 </t>
    </r>
    <r>
      <rPr>
        <sz val="10"/>
        <rFont val="Myriad Pro"/>
        <family val="2"/>
      </rPr>
      <t>% (13% Krankenversicherung, 15 % Rentenversicherung) zu zahlen</t>
    </r>
  </si>
  <si>
    <r>
      <t xml:space="preserve">*III </t>
    </r>
    <r>
      <rPr>
        <sz val="10"/>
        <rFont val="Myriad Pro"/>
        <family val="2"/>
      </rPr>
      <t xml:space="preserve"> ab  </t>
    </r>
    <r>
      <rPr>
        <b/>
        <sz val="10"/>
        <rFont val="Myriad Pro"/>
        <family val="2"/>
      </rPr>
      <t>450,01 €</t>
    </r>
    <r>
      <rPr>
        <sz val="10"/>
        <rFont val="Myriad Pro"/>
        <family val="2"/>
      </rPr>
      <t xml:space="preserve">  oder bei mehreren  Arbeitgebern ist lediglich der Beitrag zur Rentenversicherung zu entrichten.</t>
    </r>
  </si>
  <si>
    <t>Stand 01/2018</t>
  </si>
  <si>
    <t>SHK</t>
  </si>
  <si>
    <t>Vergütung der wissenschaftlichen Hilfskräfte/Tutorinnen/Tutoren 15,00 € / Std.</t>
  </si>
  <si>
    <t>zu leistende</t>
  </si>
  <si>
    <t xml:space="preserve">monatlicher Pauschalbeitrag </t>
  </si>
  <si>
    <t>Wochenstunden</t>
  </si>
  <si>
    <r>
      <t xml:space="preserve">ohne Beiträge </t>
    </r>
    <r>
      <rPr>
        <b/>
        <sz val="10"/>
        <rFont val="Arial"/>
        <family val="2"/>
      </rPr>
      <t>*I</t>
    </r>
  </si>
  <si>
    <r>
      <t xml:space="preserve">zur Sozialversicherung </t>
    </r>
    <r>
      <rPr>
        <b/>
        <sz val="10"/>
        <rFont val="Arial"/>
        <family val="2"/>
      </rPr>
      <t>*II</t>
    </r>
  </si>
  <si>
    <r>
      <t xml:space="preserve">versicherung (9,30%) </t>
    </r>
    <r>
      <rPr>
        <b/>
        <sz val="10"/>
        <rFont val="Arial"/>
        <family val="2"/>
      </rPr>
      <t>*III</t>
    </r>
  </si>
  <si>
    <r>
      <t>incl.</t>
    </r>
    <r>
      <rPr>
        <b/>
        <sz val="10"/>
        <rFont val="Arial"/>
        <family val="2"/>
      </rPr>
      <t xml:space="preserve"> Sozialversicherung </t>
    </r>
  </si>
  <si>
    <r>
      <t xml:space="preserve">*I </t>
    </r>
    <r>
      <rPr>
        <sz val="10"/>
        <rFont val="Arial"/>
        <family val="2"/>
      </rPr>
      <t xml:space="preserve">  15,00 € x 4,348 (durchschnittl. Wochenfaktor) x Anzahl der Wochenstunden</t>
    </r>
  </si>
  <si>
    <r>
      <t>*II</t>
    </r>
    <r>
      <rPr>
        <sz val="10"/>
        <rFont val="Arial"/>
        <family val="2"/>
      </rPr>
      <t xml:space="preserve">  bis </t>
    </r>
    <r>
      <rPr>
        <b/>
        <sz val="10"/>
        <rFont val="Arial"/>
        <family val="2"/>
      </rPr>
      <t xml:space="preserve">450,00 €  </t>
    </r>
    <r>
      <rPr>
        <sz val="10"/>
        <rFont val="Arial"/>
        <family val="2"/>
      </rPr>
      <t xml:space="preserve"> ist ein Pauschalbeitrag in Höhe von </t>
    </r>
    <r>
      <rPr>
        <b/>
        <sz val="10"/>
        <rFont val="Arial"/>
        <family val="2"/>
      </rPr>
      <t xml:space="preserve">28% </t>
    </r>
    <r>
      <rPr>
        <sz val="10"/>
        <rFont val="Arial"/>
        <family val="2"/>
      </rPr>
      <t xml:space="preserve"> (13% Krankenversicherung, 15% Rentenversicherung) zu zahlen</t>
    </r>
  </si>
  <si>
    <r>
      <t xml:space="preserve">*III </t>
    </r>
    <r>
      <rPr>
        <sz val="10"/>
        <rFont val="Arial"/>
        <family val="2"/>
      </rPr>
      <t xml:space="preserve"> ab  </t>
    </r>
    <r>
      <rPr>
        <b/>
        <sz val="10"/>
        <rFont val="Arial"/>
        <family val="2"/>
      </rPr>
      <t>450,01 €</t>
    </r>
    <r>
      <rPr>
        <sz val="10"/>
        <rFont val="Arial"/>
        <family val="2"/>
      </rPr>
      <t xml:space="preserve">  oder bei mehreren  Arbeitgebern ist lediglich der Beitrag zur Rentenversicherung zu entrichten.</t>
    </r>
  </si>
  <si>
    <t>Kalkulationsrechner Hilfskraftvergütung</t>
  </si>
  <si>
    <t>Dienstvertrag</t>
  </si>
  <si>
    <t>Stundenlohn</t>
  </si>
  <si>
    <r>
      <t>monatliche Vergütung der 
der Hilfskraft (</t>
    </r>
    <r>
      <rPr>
        <b/>
        <sz val="11"/>
        <color theme="1"/>
        <rFont val="Arial"/>
        <family val="2"/>
        <scheme val="minor"/>
      </rPr>
      <t>*I)</t>
    </r>
  </si>
  <si>
    <r>
      <t xml:space="preserve">*I </t>
    </r>
    <r>
      <rPr>
        <sz val="10"/>
        <rFont val="Myriad Pro"/>
        <family val="2"/>
      </rPr>
      <t xml:space="preserve">   10,00/15,00 € x 4,348 (durchschnittl. Wochenfaktor) x Arbeitszeit.</t>
    </r>
  </si>
  <si>
    <t>zu verrechnender 
Betrag pro Monat</t>
  </si>
  <si>
    <t>Berechnung</t>
  </si>
  <si>
    <t>Gesamtbetrag für den
angegebenen Zeitraum</t>
  </si>
  <si>
    <t>Arbeitgeberkosten (*II/III)</t>
  </si>
  <si>
    <r>
      <t xml:space="preserve">* </t>
    </r>
    <r>
      <rPr>
        <sz val="10"/>
        <rFont val="Myriad Pro"/>
        <family val="2"/>
      </rPr>
      <t>Zeiträume, die über den Jahreswechsel gehen, müssen bei der Berechnung separat berechnet werden.
z.B.:  02.11.2021 - 28.02.2022
    -&gt; 02.11.2021 - 31.12.2021
    -&gt; 01.01.2022 - 28.02.2022</t>
    </r>
  </si>
  <si>
    <t>Beschäftigungsende*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</si>
</sst>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0.0000"/>
    <numFmt numFmtId="165" formatCode="#,##0.00\ _D_M"/>
    <numFmt numFmtId="166" formatCode="#,##0.00\ &quot;€&quot;"/>
    <numFmt numFmtId="167" formatCode="0\ &quot;Stunden&quot;"/>
    <numFmt numFmtId="168" formatCode="#,##0.00\ _€"/>
  </numFmts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sz val="9"/>
      <name val="Arial"/>
      <family val="2"/>
    </font>
    <font>
      <sz val="10"/>
      <name val="Myriad Pro"/>
      <family val="2"/>
    </font>
    <font>
      <b/>
      <sz val="12"/>
      <name val="Arial"/>
      <family val="2"/>
    </font>
    <font>
      <b/>
      <sz val="10"/>
      <name val="Myriad Pro"/>
      <family val="2"/>
    </font>
    <font>
      <b/>
      <u/>
      <sz val="10"/>
      <name val="Myriad Pro"/>
      <family val="2"/>
    </font>
    <font>
      <i/>
      <sz val="10"/>
      <name val="Myriad Pro"/>
      <family val="2"/>
    </font>
    <font>
      <u/>
      <sz val="10"/>
      <name val="Myriad Pro"/>
      <family val="2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Arial"/>
      <family val="2"/>
      <scheme val="minor"/>
    </font>
    <font>
      <b/>
      <u val="doubleAccounting"/>
      <sz val="11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167" fontId="0" fillId="3" borderId="1" xfId="0" applyNumberForma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66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4" fillId="0" borderId="0" xfId="0" applyFont="1" applyAlignment="1" applyProtection="1">
      <alignment horizontal="center"/>
    </xf>
    <xf numFmtId="14" fontId="3" fillId="0" borderId="0" xfId="0" applyNumberFormat="1" applyFont="1" applyFill="1" applyAlignment="1" applyProtection="1">
      <alignment vertical="center" wrapText="1"/>
    </xf>
    <xf numFmtId="1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14" fontId="0" fillId="2" borderId="0" xfId="0" applyNumberFormat="1" applyFill="1" applyProtection="1"/>
    <xf numFmtId="0" fontId="2" fillId="0" borderId="0" xfId="0" applyFont="1" applyProtection="1"/>
    <xf numFmtId="0" fontId="0" fillId="0" borderId="1" xfId="0" applyBorder="1" applyAlignment="1" applyProtection="1">
      <alignment horizontal="center" vertical="center"/>
    </xf>
    <xf numFmtId="166" fontId="0" fillId="0" borderId="0" xfId="0" applyNumberFormat="1" applyProtection="1"/>
    <xf numFmtId="14" fontId="0" fillId="0" borderId="0" xfId="0" applyNumberFormat="1" applyProtection="1"/>
    <xf numFmtId="14" fontId="0" fillId="0" borderId="0" xfId="0" applyNumberFormat="1" applyFill="1" applyProtection="1"/>
    <xf numFmtId="14" fontId="0" fillId="0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left"/>
    </xf>
    <xf numFmtId="17" fontId="0" fillId="0" borderId="0" xfId="0" applyNumberFormat="1" applyProtection="1"/>
    <xf numFmtId="14" fontId="14" fillId="0" borderId="0" xfId="0" applyNumberFormat="1" applyFont="1" applyAlignment="1" applyProtection="1">
      <alignment horizontal="left"/>
    </xf>
    <xf numFmtId="164" fontId="0" fillId="0" borderId="0" xfId="0" applyNumberFormat="1" applyProtection="1"/>
    <xf numFmtId="0" fontId="11" fillId="0" borderId="0" xfId="0" applyFont="1" applyProtection="1"/>
    <xf numFmtId="0" fontId="0" fillId="0" borderId="0" xfId="0" applyAlignment="1" applyProtection="1">
      <alignment horizontal="left"/>
    </xf>
    <xf numFmtId="14" fontId="0" fillId="0" borderId="1" xfId="0" applyNumberFormat="1" applyBorder="1" applyAlignment="1" applyProtection="1">
      <alignment horizontal="left" wrapText="1"/>
    </xf>
    <xf numFmtId="166" fontId="0" fillId="0" borderId="1" xfId="0" applyNumberFormat="1" applyBorder="1" applyAlignment="1" applyProtection="1">
      <alignment horizontal="center" vertical="center"/>
    </xf>
    <xf numFmtId="0" fontId="11" fillId="0" borderId="0" xfId="0" applyFont="1" applyAlignment="1" applyProtection="1"/>
    <xf numFmtId="1" fontId="0" fillId="0" borderId="0" xfId="0" applyNumberFormat="1" applyProtection="1"/>
    <xf numFmtId="44" fontId="0" fillId="0" borderId="1" xfId="1" applyFont="1" applyFill="1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11" fillId="0" borderId="1" xfId="0" applyFont="1" applyBorder="1" applyAlignment="1" applyProtection="1">
      <alignment horizontal="left" vertical="center" wrapText="1"/>
    </xf>
    <xf numFmtId="44" fontId="15" fillId="0" borderId="1" xfId="1" applyFont="1" applyFill="1" applyBorder="1" applyAlignment="1" applyProtection="1">
      <alignment vertical="center"/>
    </xf>
    <xf numFmtId="166" fontId="0" fillId="0" borderId="0" xfId="0" applyNumberFormat="1" applyAlignment="1" applyProtection="1">
      <alignment horizontal="center"/>
    </xf>
    <xf numFmtId="14" fontId="0" fillId="3" borderId="0" xfId="0" applyNumberFormat="1" applyFill="1" applyProtection="1"/>
    <xf numFmtId="44" fontId="0" fillId="0" borderId="0" xfId="1" applyFont="1" applyFill="1" applyProtection="1"/>
    <xf numFmtId="165" fontId="7" fillId="0" borderId="0" xfId="0" applyNumberFormat="1" applyFont="1" applyBorder="1" applyProtection="1"/>
    <xf numFmtId="0" fontId="7" fillId="0" borderId="0" xfId="0" applyFont="1" applyBorder="1" applyProtection="1"/>
    <xf numFmtId="44" fontId="0" fillId="0" borderId="0" xfId="0" applyNumberFormat="1" applyProtection="1"/>
    <xf numFmtId="44" fontId="0" fillId="0" borderId="0" xfId="1" applyFont="1" applyFill="1" applyAlignment="1" applyProtection="1">
      <alignment horizontal="left"/>
    </xf>
    <xf numFmtId="4" fontId="4" fillId="4" borderId="1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Protection="1"/>
    <xf numFmtId="165" fontId="5" fillId="0" borderId="1" xfId="0" applyNumberFormat="1" applyFont="1" applyFill="1" applyBorder="1" applyProtection="1"/>
    <xf numFmtId="165" fontId="7" fillId="0" borderId="1" xfId="0" applyNumberFormat="1" applyFont="1" applyFill="1" applyBorder="1" applyProtection="1"/>
    <xf numFmtId="165" fontId="5" fillId="0" borderId="5" xfId="0" applyNumberFormat="1" applyFont="1" applyFill="1" applyBorder="1" applyProtection="1"/>
    <xf numFmtId="165" fontId="5" fillId="0" borderId="5" xfId="0" applyNumberFormat="1" applyFont="1" applyFill="1" applyBorder="1" applyAlignment="1" applyProtection="1">
      <alignment wrapText="1"/>
    </xf>
    <xf numFmtId="165" fontId="8" fillId="0" borderId="5" xfId="0" applyNumberFormat="1" applyFont="1" applyFill="1" applyBorder="1" applyAlignment="1" applyProtection="1">
      <alignment wrapText="1"/>
    </xf>
    <xf numFmtId="165" fontId="5" fillId="0" borderId="6" xfId="0" applyNumberFormat="1" applyFont="1" applyFill="1" applyBorder="1" applyProtection="1"/>
    <xf numFmtId="165" fontId="7" fillId="0" borderId="6" xfId="0" applyNumberFormat="1" applyFont="1" applyFill="1" applyBorder="1" applyProtection="1"/>
    <xf numFmtId="0" fontId="5" fillId="5" borderId="7" xfId="0" applyNumberFormat="1" applyFont="1" applyFill="1" applyBorder="1" applyAlignment="1" applyProtection="1">
      <alignment horizontal="center"/>
    </xf>
    <xf numFmtId="165" fontId="5" fillId="5" borderId="8" xfId="0" applyNumberFormat="1" applyFont="1" applyFill="1" applyBorder="1" applyAlignment="1" applyProtection="1">
      <alignment horizontal="center"/>
    </xf>
    <xf numFmtId="165" fontId="7" fillId="5" borderId="9" xfId="0" applyNumberFormat="1" applyFont="1" applyFill="1" applyBorder="1" applyAlignment="1" applyProtection="1">
      <alignment horizontal="center"/>
    </xf>
    <xf numFmtId="165" fontId="5" fillId="6" borderId="10" xfId="0" applyNumberFormat="1" applyFont="1" applyFill="1" applyBorder="1" applyAlignment="1" applyProtection="1">
      <alignment horizontal="center"/>
    </xf>
    <xf numFmtId="165" fontId="5" fillId="0" borderId="11" xfId="0" applyNumberFormat="1" applyFont="1" applyFill="1" applyBorder="1" applyAlignment="1" applyProtection="1">
      <alignment horizontal="center"/>
    </xf>
    <xf numFmtId="0" fontId="5" fillId="5" borderId="12" xfId="0" applyNumberFormat="1" applyFont="1" applyFill="1" applyBorder="1" applyAlignment="1" applyProtection="1">
      <alignment horizontal="center"/>
    </xf>
    <xf numFmtId="165" fontId="5" fillId="5" borderId="11" xfId="0" applyNumberFormat="1" applyFont="1" applyFill="1" applyBorder="1" applyAlignment="1" applyProtection="1">
      <alignment horizontal="center"/>
    </xf>
    <xf numFmtId="165" fontId="5" fillId="5" borderId="1" xfId="0" applyNumberFormat="1" applyFont="1" applyFill="1" applyBorder="1" applyAlignment="1" applyProtection="1">
      <alignment horizontal="center"/>
    </xf>
    <xf numFmtId="165" fontId="7" fillId="5" borderId="13" xfId="0" applyNumberFormat="1" applyFont="1" applyFill="1" applyBorder="1" applyAlignment="1" applyProtection="1">
      <alignment horizontal="center"/>
    </xf>
    <xf numFmtId="165" fontId="5" fillId="6" borderId="14" xfId="0" applyNumberFormat="1" applyFont="1" applyFill="1" applyBorder="1" applyAlignment="1" applyProtection="1">
      <alignment horizontal="center"/>
    </xf>
    <xf numFmtId="165" fontId="5" fillId="0" borderId="1" xfId="0" applyNumberFormat="1" applyFont="1" applyFill="1" applyBorder="1" applyAlignment="1" applyProtection="1">
      <alignment horizontal="center"/>
    </xf>
    <xf numFmtId="0" fontId="5" fillId="5" borderId="15" xfId="0" applyNumberFormat="1" applyFont="1" applyFill="1" applyBorder="1" applyAlignment="1" applyProtection="1">
      <alignment horizontal="center"/>
    </xf>
    <xf numFmtId="165" fontId="5" fillId="5" borderId="16" xfId="0" applyNumberFormat="1" applyFont="1" applyFill="1" applyBorder="1" applyAlignment="1" applyProtection="1">
      <alignment horizontal="center"/>
    </xf>
    <xf numFmtId="165" fontId="5" fillId="5" borderId="17" xfId="0" applyNumberFormat="1" applyFont="1" applyFill="1" applyBorder="1" applyAlignment="1" applyProtection="1">
      <alignment horizontal="center"/>
    </xf>
    <xf numFmtId="165" fontId="7" fillId="5" borderId="18" xfId="0" applyNumberFormat="1" applyFont="1" applyFill="1" applyBorder="1" applyAlignment="1" applyProtection="1">
      <alignment horizontal="center"/>
    </xf>
    <xf numFmtId="165" fontId="5" fillId="0" borderId="5" xfId="0" applyNumberFormat="1" applyFont="1" applyFill="1" applyBorder="1" applyAlignment="1" applyProtection="1">
      <alignment horizontal="center"/>
    </xf>
    <xf numFmtId="0" fontId="5" fillId="7" borderId="11" xfId="0" applyNumberFormat="1" applyFont="1" applyFill="1" applyBorder="1" applyAlignment="1" applyProtection="1">
      <alignment horizontal="center"/>
    </xf>
    <xf numFmtId="165" fontId="5" fillId="7" borderId="11" xfId="0" applyNumberFormat="1" applyFont="1" applyFill="1" applyBorder="1" applyAlignment="1" applyProtection="1">
      <alignment horizontal="center"/>
    </xf>
    <xf numFmtId="165" fontId="7" fillId="7" borderId="11" xfId="0" applyNumberFormat="1" applyFont="1" applyFill="1" applyBorder="1" applyAlignment="1" applyProtection="1">
      <alignment horizontal="center"/>
    </xf>
    <xf numFmtId="165" fontId="7" fillId="6" borderId="19" xfId="0" applyNumberFormat="1" applyFont="1" applyFill="1" applyBorder="1" applyAlignment="1" applyProtection="1">
      <alignment horizontal="center"/>
    </xf>
    <xf numFmtId="165" fontId="7" fillId="5" borderId="7" xfId="0" applyNumberFormat="1" applyFont="1" applyFill="1" applyBorder="1" applyAlignment="1" applyProtection="1">
      <alignment horizontal="center"/>
    </xf>
    <xf numFmtId="165" fontId="7" fillId="5" borderId="12" xfId="0" applyNumberFormat="1" applyFont="1" applyFill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/>
    </xf>
    <xf numFmtId="165" fontId="7" fillId="0" borderId="1" xfId="0" applyNumberFormat="1" applyFont="1" applyFill="1" applyBorder="1" applyAlignment="1" applyProtection="1">
      <alignment horizontal="center"/>
    </xf>
    <xf numFmtId="0" fontId="5" fillId="0" borderId="11" xfId="0" applyNumberFormat="1" applyFont="1" applyBorder="1" applyAlignment="1" applyProtection="1">
      <alignment horizontal="center"/>
    </xf>
    <xf numFmtId="165" fontId="7" fillId="0" borderId="11" xfId="0" applyNumberFormat="1" applyFont="1" applyFill="1" applyBorder="1" applyAlignment="1" applyProtection="1">
      <alignment horizontal="center"/>
    </xf>
    <xf numFmtId="165" fontId="7" fillId="6" borderId="20" xfId="0" applyNumberFormat="1" applyFont="1" applyFill="1" applyBorder="1" applyAlignment="1" applyProtection="1">
      <alignment horizontal="center"/>
    </xf>
    <xf numFmtId="165" fontId="7" fillId="5" borderId="15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Protection="1"/>
    <xf numFmtId="165" fontId="5" fillId="8" borderId="0" xfId="0" applyNumberFormat="1" applyFont="1" applyFill="1" applyBorder="1" applyProtection="1"/>
    <xf numFmtId="165" fontId="9" fillId="0" borderId="0" xfId="0" applyNumberFormat="1" applyFont="1" applyBorder="1" applyProtection="1"/>
    <xf numFmtId="165" fontId="2" fillId="0" borderId="0" xfId="0" applyNumberFormat="1" applyFont="1" applyBorder="1" applyProtection="1"/>
    <xf numFmtId="165" fontId="12" fillId="0" borderId="0" xfId="0" applyNumberFormat="1" applyFont="1" applyBorder="1" applyProtection="1"/>
    <xf numFmtId="165" fontId="2" fillId="8" borderId="1" xfId="0" applyNumberFormat="1" applyFont="1" applyFill="1" applyBorder="1" applyAlignment="1" applyProtection="1">
      <alignment horizontal="center"/>
    </xf>
    <xf numFmtId="165" fontId="12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165" fontId="12" fillId="8" borderId="1" xfId="0" applyNumberFormat="1" applyFont="1" applyFill="1" applyBorder="1" applyAlignment="1" applyProtection="1">
      <alignment horizontal="center"/>
    </xf>
    <xf numFmtId="165" fontId="2" fillId="8" borderId="6" xfId="0" applyNumberFormat="1" applyFont="1" applyFill="1" applyBorder="1" applyAlignment="1" applyProtection="1">
      <alignment horizontal="center"/>
    </xf>
    <xf numFmtId="165" fontId="13" fillId="0" borderId="6" xfId="0" applyNumberFormat="1" applyFont="1" applyFill="1" applyBorder="1" applyAlignment="1" applyProtection="1">
      <alignment wrapText="1"/>
    </xf>
    <xf numFmtId="165" fontId="2" fillId="0" borderId="6" xfId="0" applyNumberFormat="1" applyFont="1" applyFill="1" applyBorder="1" applyProtection="1"/>
    <xf numFmtId="165" fontId="13" fillId="8" borderId="6" xfId="0" applyNumberFormat="1" applyFont="1" applyFill="1" applyBorder="1" applyAlignment="1" applyProtection="1">
      <alignment horizontal="center"/>
    </xf>
    <xf numFmtId="0" fontId="2" fillId="5" borderId="24" xfId="0" applyNumberFormat="1" applyFont="1" applyFill="1" applyBorder="1" applyAlignment="1" applyProtection="1">
      <alignment horizontal="center"/>
    </xf>
    <xf numFmtId="166" fontId="2" fillId="5" borderId="11" xfId="0" applyNumberFormat="1" applyFont="1" applyFill="1" applyBorder="1" applyAlignment="1" applyProtection="1">
      <alignment horizontal="center"/>
    </xf>
    <xf numFmtId="166" fontId="12" fillId="5" borderId="25" xfId="0" applyNumberFormat="1" applyFont="1" applyFill="1" applyBorder="1" applyAlignment="1" applyProtection="1">
      <alignment horizontal="center"/>
    </xf>
    <xf numFmtId="166" fontId="2" fillId="7" borderId="10" xfId="0" applyNumberFormat="1" applyFont="1" applyFill="1" applyBorder="1" applyAlignment="1" applyProtection="1">
      <alignment horizontal="center"/>
    </xf>
    <xf numFmtId="166" fontId="2" fillId="7" borderId="11" xfId="0" applyNumberFormat="1" applyFont="1" applyFill="1" applyBorder="1" applyAlignment="1" applyProtection="1">
      <alignment horizontal="center"/>
    </xf>
    <xf numFmtId="0" fontId="2" fillId="5" borderId="12" xfId="0" applyNumberFormat="1" applyFont="1" applyFill="1" applyBorder="1" applyAlignment="1" applyProtection="1">
      <alignment horizontal="center"/>
    </xf>
    <xf numFmtId="166" fontId="2" fillId="5" borderId="1" xfId="0" applyNumberFormat="1" applyFont="1" applyFill="1" applyBorder="1" applyAlignment="1" applyProtection="1">
      <alignment horizontal="center"/>
    </xf>
    <xf numFmtId="166" fontId="12" fillId="5" borderId="13" xfId="0" applyNumberFormat="1" applyFont="1" applyFill="1" applyBorder="1" applyAlignment="1" applyProtection="1">
      <alignment horizontal="center"/>
    </xf>
    <xf numFmtId="0" fontId="2" fillId="5" borderId="15" xfId="0" applyNumberFormat="1" applyFont="1" applyFill="1" applyBorder="1" applyAlignment="1" applyProtection="1">
      <alignment horizontal="center"/>
    </xf>
    <xf numFmtId="166" fontId="2" fillId="5" borderId="17" xfId="0" applyNumberFormat="1" applyFont="1" applyFill="1" applyBorder="1" applyAlignment="1" applyProtection="1">
      <alignment horizontal="center"/>
    </xf>
    <xf numFmtId="166" fontId="12" fillId="5" borderId="18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166" fontId="2" fillId="0" borderId="11" xfId="0" applyNumberFormat="1" applyFont="1" applyFill="1" applyBorder="1" applyAlignment="1" applyProtection="1">
      <alignment horizontal="center"/>
    </xf>
    <xf numFmtId="168" fontId="7" fillId="7" borderId="26" xfId="0" applyNumberFormat="1" applyFont="1" applyFill="1" applyBorder="1" applyProtection="1"/>
    <xf numFmtId="166" fontId="12" fillId="5" borderId="9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168" fontId="7" fillId="7" borderId="20" xfId="0" applyNumberFormat="1" applyFont="1" applyFill="1" applyBorder="1" applyProtection="1"/>
    <xf numFmtId="168" fontId="2" fillId="0" borderId="2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12" fillId="9" borderId="0" xfId="0" applyFont="1" applyFill="1" applyBorder="1" applyProtection="1"/>
    <xf numFmtId="0" fontId="2" fillId="9" borderId="0" xfId="0" applyFont="1" applyFill="1" applyBorder="1" applyProtection="1"/>
    <xf numFmtId="0" fontId="12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left" vertical="top" wrapText="1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165" fontId="6" fillId="0" borderId="21" xfId="0" applyNumberFormat="1" applyFont="1" applyBorder="1" applyAlignment="1" applyProtection="1">
      <alignment horizontal="center"/>
    </xf>
    <xf numFmtId="165" fontId="6" fillId="0" borderId="22" xfId="0" applyNumberFormat="1" applyFont="1" applyBorder="1" applyAlignment="1" applyProtection="1">
      <alignment horizontal="center"/>
    </xf>
    <xf numFmtId="165" fontId="6" fillId="0" borderId="23" xfId="0" applyNumberFormat="1" applyFont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puesche\Desktop\2020-05_Personalkostenkalkulation-Zeitbezug.V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ion mit Zeitbezug"/>
      <sheetName val="Hintergrundberechnungen"/>
      <sheetName val="EG-Tabelle-Stand-01.01.2019"/>
      <sheetName val="EG-Tabelle-Stand-01.01.2020"/>
      <sheetName val="EG-Tabelle-Stand-01.01.2021"/>
      <sheetName val="Tabelle1"/>
    </sheetNames>
    <sheetDataSet>
      <sheetData sheetId="0"/>
      <sheetData sheetId="1">
        <row r="4">
          <cell r="D4">
            <v>4</v>
          </cell>
        </row>
      </sheetData>
      <sheetData sheetId="2">
        <row r="5">
          <cell r="A5"/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A6">
            <v>15</v>
          </cell>
          <cell r="B6">
            <v>4596.6899999999996</v>
          </cell>
          <cell r="C6">
            <v>5023.8500000000004</v>
          </cell>
          <cell r="D6">
            <v>5209.41</v>
          </cell>
          <cell r="E6">
            <v>5868.47</v>
          </cell>
          <cell r="F6">
            <v>6367.55</v>
          </cell>
          <cell r="G6">
            <v>6558.57</v>
          </cell>
        </row>
        <row r="7">
          <cell r="A7">
            <v>14</v>
          </cell>
          <cell r="B7">
            <v>4161.82</v>
          </cell>
          <cell r="C7">
            <v>4550.3500000000004</v>
          </cell>
          <cell r="D7">
            <v>4812.7</v>
          </cell>
          <cell r="E7">
            <v>5209.41</v>
          </cell>
          <cell r="F7">
            <v>5817.26</v>
          </cell>
          <cell r="G7">
            <v>5991.78</v>
          </cell>
        </row>
        <row r="8">
          <cell r="A8">
            <v>13</v>
          </cell>
          <cell r="B8">
            <v>3837.26</v>
          </cell>
          <cell r="C8">
            <v>4198.4399999999996</v>
          </cell>
          <cell r="D8">
            <v>4422.3900000000003</v>
          </cell>
          <cell r="E8">
            <v>4857.49</v>
          </cell>
          <cell r="F8">
            <v>5458.94</v>
          </cell>
          <cell r="G8">
            <v>5622.71</v>
          </cell>
        </row>
        <row r="9">
          <cell r="A9">
            <v>12</v>
          </cell>
          <cell r="B9">
            <v>3458.4</v>
          </cell>
          <cell r="C9">
            <v>3763.34</v>
          </cell>
          <cell r="D9">
            <v>4288.0200000000004</v>
          </cell>
          <cell r="E9">
            <v>4748.72</v>
          </cell>
          <cell r="F9">
            <v>5343.77</v>
          </cell>
          <cell r="G9">
            <v>5504.08</v>
          </cell>
        </row>
        <row r="10">
          <cell r="A10">
            <v>11</v>
          </cell>
          <cell r="B10">
            <v>3346.42</v>
          </cell>
          <cell r="C10">
            <v>3628.98</v>
          </cell>
          <cell r="D10">
            <v>3891.31</v>
          </cell>
          <cell r="E10">
            <v>4288.0200000000004</v>
          </cell>
          <cell r="F10">
            <v>4863.8999999999996</v>
          </cell>
          <cell r="G10">
            <v>5009.8100000000004</v>
          </cell>
        </row>
        <row r="11">
          <cell r="A11">
            <v>10</v>
          </cell>
          <cell r="B11">
            <v>3228.23</v>
          </cell>
          <cell r="C11">
            <v>3502.94</v>
          </cell>
          <cell r="D11">
            <v>3763.34</v>
          </cell>
          <cell r="E11">
            <v>4025.67</v>
          </cell>
          <cell r="F11">
            <v>4524.79</v>
          </cell>
          <cell r="G11">
            <v>4660.53</v>
          </cell>
        </row>
        <row r="12">
          <cell r="A12" t="str">
            <v>9b</v>
          </cell>
          <cell r="B12">
            <v>2873.64</v>
          </cell>
          <cell r="C12">
            <v>3129.67</v>
          </cell>
          <cell r="D12">
            <v>3272.55</v>
          </cell>
          <cell r="E12">
            <v>3667.36</v>
          </cell>
          <cell r="F12">
            <v>4000.09</v>
          </cell>
          <cell r="G12">
            <v>4120.1000000000004</v>
          </cell>
        </row>
        <row r="13">
          <cell r="A13" t="str">
            <v>9a</v>
          </cell>
          <cell r="B13">
            <v>2873.64</v>
          </cell>
          <cell r="C13">
            <v>3129.67</v>
          </cell>
          <cell r="D13">
            <v>3177.31</v>
          </cell>
          <cell r="E13">
            <v>3272.55</v>
          </cell>
          <cell r="F13">
            <v>3667.36</v>
          </cell>
          <cell r="G13">
            <v>3777.39</v>
          </cell>
        </row>
        <row r="14">
          <cell r="A14">
            <v>8</v>
          </cell>
          <cell r="B14">
            <v>2699.45</v>
          </cell>
          <cell r="C14">
            <v>2945.15</v>
          </cell>
          <cell r="D14">
            <v>3064.19</v>
          </cell>
          <cell r="E14">
            <v>3177.31</v>
          </cell>
          <cell r="F14">
            <v>3302.32</v>
          </cell>
          <cell r="G14">
            <v>3379.7</v>
          </cell>
        </row>
        <row r="15">
          <cell r="A15">
            <v>7</v>
          </cell>
          <cell r="B15">
            <v>2537.7199999999998</v>
          </cell>
          <cell r="C15">
            <v>2772.5</v>
          </cell>
          <cell r="D15">
            <v>2933.23</v>
          </cell>
          <cell r="E15">
            <v>3052.29</v>
          </cell>
          <cell r="F15">
            <v>3147.55</v>
          </cell>
          <cell r="G15">
            <v>3230.87</v>
          </cell>
        </row>
        <row r="16">
          <cell r="A16">
            <v>6</v>
          </cell>
          <cell r="B16">
            <v>2494.17</v>
          </cell>
          <cell r="C16">
            <v>2724.88</v>
          </cell>
          <cell r="D16">
            <v>2843.94</v>
          </cell>
          <cell r="E16">
            <v>2963.01</v>
          </cell>
          <cell r="F16">
            <v>3040.38</v>
          </cell>
          <cell r="G16">
            <v>3123.72</v>
          </cell>
        </row>
        <row r="17">
          <cell r="A17">
            <v>5</v>
          </cell>
          <cell r="B17">
            <v>2394.63</v>
          </cell>
          <cell r="C17">
            <v>2617.73</v>
          </cell>
          <cell r="D17">
            <v>2736.79</v>
          </cell>
          <cell r="E17">
            <v>2849.89</v>
          </cell>
          <cell r="F17">
            <v>2939.19</v>
          </cell>
          <cell r="G17">
            <v>2998.72</v>
          </cell>
        </row>
        <row r="18">
          <cell r="A18">
            <v>4</v>
          </cell>
          <cell r="B18">
            <v>2284.36</v>
          </cell>
          <cell r="C18">
            <v>2504.64</v>
          </cell>
          <cell r="D18">
            <v>2653.45</v>
          </cell>
          <cell r="E18">
            <v>2736.79</v>
          </cell>
          <cell r="F18">
            <v>2820.14</v>
          </cell>
          <cell r="G18">
            <v>2873.7</v>
          </cell>
        </row>
        <row r="19">
          <cell r="A19">
            <v>3</v>
          </cell>
          <cell r="B19">
            <v>2254.6</v>
          </cell>
          <cell r="C19">
            <v>2468.91</v>
          </cell>
          <cell r="D19">
            <v>2528.44</v>
          </cell>
          <cell r="E19">
            <v>2623.68</v>
          </cell>
          <cell r="F19">
            <v>2701.07</v>
          </cell>
          <cell r="G19">
            <v>2766.55</v>
          </cell>
        </row>
        <row r="20">
          <cell r="A20">
            <v>2</v>
          </cell>
          <cell r="B20">
            <v>2099.83</v>
          </cell>
          <cell r="C20">
            <v>2296.27</v>
          </cell>
          <cell r="D20">
            <v>2355.81</v>
          </cell>
          <cell r="E20">
            <v>2415.33</v>
          </cell>
          <cell r="F20">
            <v>2552.2399999999998</v>
          </cell>
          <cell r="G20">
            <v>2695.13</v>
          </cell>
        </row>
        <row r="21">
          <cell r="A21">
            <v>1</v>
          </cell>
          <cell r="B21"/>
          <cell r="C21">
            <v>1897.44</v>
          </cell>
          <cell r="D21">
            <v>1927.18</v>
          </cell>
          <cell r="E21">
            <v>1962.9</v>
          </cell>
          <cell r="F21">
            <v>1998.63</v>
          </cell>
          <cell r="G21">
            <v>2087.92</v>
          </cell>
        </row>
      </sheetData>
      <sheetData sheetId="3">
        <row r="5">
          <cell r="A5"/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A6">
            <v>15</v>
          </cell>
          <cell r="B6">
            <v>4794.3500000000004</v>
          </cell>
          <cell r="C6">
            <v>5180.59</v>
          </cell>
          <cell r="D6">
            <v>5371.94</v>
          </cell>
          <cell r="E6">
            <v>6051.57</v>
          </cell>
          <cell r="F6">
            <v>6566.22</v>
          </cell>
          <cell r="G6">
            <v>6763.2</v>
          </cell>
        </row>
        <row r="7">
          <cell r="A7">
            <v>14</v>
          </cell>
          <cell r="B7">
            <v>4340.78</v>
          </cell>
          <cell r="C7">
            <v>4692.32</v>
          </cell>
          <cell r="D7">
            <v>4962.8599999999997</v>
          </cell>
          <cell r="E7">
            <v>5371.94</v>
          </cell>
          <cell r="F7">
            <v>5998.76</v>
          </cell>
          <cell r="G7">
            <v>6178.72</v>
          </cell>
        </row>
        <row r="8">
          <cell r="A8">
            <v>13</v>
          </cell>
          <cell r="B8">
            <v>4002.26</v>
          </cell>
          <cell r="C8">
            <v>4329.43</v>
          </cell>
          <cell r="D8">
            <v>4560.37</v>
          </cell>
          <cell r="E8">
            <v>5009.04</v>
          </cell>
          <cell r="F8">
            <v>5629.26</v>
          </cell>
          <cell r="G8">
            <v>5798.14</v>
          </cell>
        </row>
        <row r="9">
          <cell r="A9">
            <v>12</v>
          </cell>
          <cell r="B9">
            <v>3607.11</v>
          </cell>
          <cell r="C9">
            <v>3880.76</v>
          </cell>
          <cell r="D9">
            <v>4421.8100000000004</v>
          </cell>
          <cell r="E9">
            <v>4896.88</v>
          </cell>
          <cell r="F9">
            <v>5510.5</v>
          </cell>
          <cell r="G9">
            <v>5675.81</v>
          </cell>
        </row>
        <row r="10">
          <cell r="A10">
            <v>11</v>
          </cell>
          <cell r="B10">
            <v>3490.32</v>
          </cell>
          <cell r="C10">
            <v>3742.2</v>
          </cell>
          <cell r="D10">
            <v>4012.72</v>
          </cell>
          <cell r="E10">
            <v>4421.8100000000004</v>
          </cell>
          <cell r="F10">
            <v>5015.6499999999996</v>
          </cell>
          <cell r="G10">
            <v>5166.12</v>
          </cell>
        </row>
        <row r="11">
          <cell r="A11">
            <v>10</v>
          </cell>
          <cell r="B11">
            <v>3367.04</v>
          </cell>
          <cell r="C11">
            <v>3612.23</v>
          </cell>
          <cell r="D11">
            <v>3880.76</v>
          </cell>
          <cell r="E11">
            <v>4151.2700000000004</v>
          </cell>
          <cell r="F11">
            <v>4665.96</v>
          </cell>
          <cell r="G11">
            <v>4805.9399999999996</v>
          </cell>
        </row>
        <row r="12">
          <cell r="A12" t="str">
            <v>9b</v>
          </cell>
          <cell r="B12">
            <v>2997.21</v>
          </cell>
          <cell r="C12">
            <v>3227.32</v>
          </cell>
          <cell r="D12">
            <v>3374.65</v>
          </cell>
          <cell r="E12">
            <v>3781.78</v>
          </cell>
          <cell r="F12">
            <v>4124.8900000000003</v>
          </cell>
          <cell r="G12">
            <v>4248.6499999999996</v>
          </cell>
        </row>
        <row r="13">
          <cell r="A13" t="str">
            <v>9a</v>
          </cell>
          <cell r="B13">
            <v>2997.21</v>
          </cell>
          <cell r="C13">
            <v>3227.32</v>
          </cell>
          <cell r="D13">
            <v>3276.44</v>
          </cell>
          <cell r="E13">
            <v>3374.65</v>
          </cell>
          <cell r="F13">
            <v>3781.78</v>
          </cell>
          <cell r="G13">
            <v>3895.24</v>
          </cell>
        </row>
        <row r="14">
          <cell r="A14">
            <v>8</v>
          </cell>
          <cell r="B14">
            <v>2815.53</v>
          </cell>
          <cell r="C14">
            <v>3037.04</v>
          </cell>
          <cell r="D14">
            <v>3159.79</v>
          </cell>
          <cell r="E14">
            <v>3276.44</v>
          </cell>
          <cell r="F14">
            <v>3405.35</v>
          </cell>
          <cell r="G14">
            <v>3485.15</v>
          </cell>
        </row>
        <row r="15">
          <cell r="A15">
            <v>7</v>
          </cell>
          <cell r="B15">
            <v>2646.84</v>
          </cell>
          <cell r="C15">
            <v>2862.5</v>
          </cell>
          <cell r="D15">
            <v>3024.75</v>
          </cell>
          <cell r="E15">
            <v>3147.52</v>
          </cell>
          <cell r="F15">
            <v>3245.75</v>
          </cell>
          <cell r="G15">
            <v>3331.67</v>
          </cell>
        </row>
        <row r="16">
          <cell r="A16">
            <v>6</v>
          </cell>
          <cell r="B16">
            <v>2601.42</v>
          </cell>
          <cell r="C16">
            <v>2814.88</v>
          </cell>
          <cell r="D16">
            <v>2933.94</v>
          </cell>
          <cell r="E16">
            <v>3055.46</v>
          </cell>
          <cell r="F16">
            <v>3135.24</v>
          </cell>
          <cell r="G16">
            <v>3221.18</v>
          </cell>
        </row>
        <row r="17">
          <cell r="A17">
            <v>5</v>
          </cell>
          <cell r="B17">
            <v>2497.6</v>
          </cell>
          <cell r="C17">
            <v>2707.73</v>
          </cell>
          <cell r="D17">
            <v>2826.79</v>
          </cell>
          <cell r="E17">
            <v>2939.89</v>
          </cell>
          <cell r="F17">
            <v>3030.89</v>
          </cell>
          <cell r="G17">
            <v>3092.28</v>
          </cell>
        </row>
        <row r="18">
          <cell r="A18">
            <v>4</v>
          </cell>
          <cell r="B18">
            <v>2382.59</v>
          </cell>
          <cell r="C18">
            <v>2594.64</v>
          </cell>
          <cell r="D18">
            <v>2743.45</v>
          </cell>
          <cell r="E18">
            <v>2826.79</v>
          </cell>
          <cell r="F18">
            <v>2910.14</v>
          </cell>
          <cell r="G18">
            <v>2963.7</v>
          </cell>
        </row>
        <row r="19">
          <cell r="A19">
            <v>3</v>
          </cell>
          <cell r="B19">
            <v>2351.5500000000002</v>
          </cell>
          <cell r="C19">
            <v>2558.91</v>
          </cell>
          <cell r="D19">
            <v>2618.44</v>
          </cell>
          <cell r="E19">
            <v>2713.68</v>
          </cell>
          <cell r="F19">
            <v>2791.07</v>
          </cell>
          <cell r="G19">
            <v>2856.55</v>
          </cell>
        </row>
        <row r="20">
          <cell r="A20">
            <v>2</v>
          </cell>
          <cell r="B20">
            <v>2190.12</v>
          </cell>
          <cell r="C20">
            <v>2386.27</v>
          </cell>
          <cell r="D20">
            <v>2445.81</v>
          </cell>
          <cell r="E20">
            <v>2505.33</v>
          </cell>
          <cell r="F20">
            <v>2642.24</v>
          </cell>
          <cell r="G20">
            <v>2785.13</v>
          </cell>
        </row>
        <row r="21">
          <cell r="A21">
            <v>1</v>
          </cell>
          <cell r="B21"/>
          <cell r="C21">
            <v>1987.44</v>
          </cell>
          <cell r="D21">
            <v>2017.18</v>
          </cell>
          <cell r="E21">
            <v>2052.9</v>
          </cell>
          <cell r="F21">
            <v>2088.63</v>
          </cell>
          <cell r="G21">
            <v>2177.92</v>
          </cell>
        </row>
      </sheetData>
      <sheetData sheetId="4">
        <row r="5">
          <cell r="A5"/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A6">
            <v>15</v>
          </cell>
          <cell r="B6">
            <v>4880.6499999999996</v>
          </cell>
          <cell r="C6">
            <v>5247.42</v>
          </cell>
          <cell r="D6">
            <v>5441.24</v>
          </cell>
          <cell r="E6">
            <v>6129.64</v>
          </cell>
          <cell r="F6">
            <v>6650.92</v>
          </cell>
          <cell r="G6">
            <v>6850.45</v>
          </cell>
        </row>
        <row r="7">
          <cell r="A7">
            <v>14</v>
          </cell>
          <cell r="B7">
            <v>4418.91</v>
          </cell>
          <cell r="C7">
            <v>4752.8500000000004</v>
          </cell>
          <cell r="D7">
            <v>5026.88</v>
          </cell>
          <cell r="E7">
            <v>5441.24</v>
          </cell>
          <cell r="F7">
            <v>6076.14</v>
          </cell>
          <cell r="G7">
            <v>6258.43</v>
          </cell>
        </row>
        <row r="8">
          <cell r="A8">
            <v>13</v>
          </cell>
          <cell r="B8">
            <v>4074.3</v>
          </cell>
          <cell r="C8">
            <v>4385.28</v>
          </cell>
          <cell r="D8">
            <v>4619.2</v>
          </cell>
          <cell r="E8">
            <v>5073.66</v>
          </cell>
          <cell r="F8">
            <v>5701.88</v>
          </cell>
          <cell r="G8">
            <v>5872.94</v>
          </cell>
        </row>
        <row r="9">
          <cell r="A9">
            <v>12</v>
          </cell>
          <cell r="B9">
            <v>3672.04</v>
          </cell>
          <cell r="C9">
            <v>3930.82</v>
          </cell>
          <cell r="D9">
            <v>4478.8500000000004</v>
          </cell>
          <cell r="E9">
            <v>4960.05</v>
          </cell>
          <cell r="F9">
            <v>5581.59</v>
          </cell>
          <cell r="G9">
            <v>5749.03</v>
          </cell>
        </row>
        <row r="10">
          <cell r="A10">
            <v>11</v>
          </cell>
          <cell r="B10">
            <v>3553.15</v>
          </cell>
          <cell r="C10">
            <v>3792.2</v>
          </cell>
          <cell r="D10">
            <v>4064.48</v>
          </cell>
          <cell r="E10">
            <v>4478.8500000000004</v>
          </cell>
          <cell r="F10">
            <v>5080.3500000000004</v>
          </cell>
          <cell r="G10">
            <v>5232.76</v>
          </cell>
        </row>
        <row r="11">
          <cell r="A11">
            <v>10</v>
          </cell>
          <cell r="B11">
            <v>3427.65</v>
          </cell>
          <cell r="C11">
            <v>3662.23</v>
          </cell>
          <cell r="D11">
            <v>3930.82</v>
          </cell>
          <cell r="E11">
            <v>4204.82</v>
          </cell>
          <cell r="F11">
            <v>4726.1499999999996</v>
          </cell>
          <cell r="G11">
            <v>4867.9399999999996</v>
          </cell>
        </row>
        <row r="12">
          <cell r="A12" t="str">
            <v>9b</v>
          </cell>
          <cell r="B12">
            <v>3051.16</v>
          </cell>
          <cell r="C12">
            <v>3277.32</v>
          </cell>
          <cell r="D12">
            <v>3424.65</v>
          </cell>
          <cell r="E12">
            <v>3831.78</v>
          </cell>
          <cell r="F12">
            <v>4178.1000000000004</v>
          </cell>
          <cell r="G12">
            <v>4303.46</v>
          </cell>
        </row>
        <row r="13">
          <cell r="A13" t="str">
            <v>9a</v>
          </cell>
          <cell r="B13">
            <v>3051.16</v>
          </cell>
          <cell r="C13">
            <v>3277.32</v>
          </cell>
          <cell r="D13">
            <v>3326.44</v>
          </cell>
          <cell r="E13">
            <v>3424.65</v>
          </cell>
          <cell r="F13">
            <v>3831.78</v>
          </cell>
          <cell r="G13">
            <v>3945.49</v>
          </cell>
        </row>
        <row r="14">
          <cell r="A14">
            <v>8</v>
          </cell>
          <cell r="B14">
            <v>2866.21</v>
          </cell>
          <cell r="C14">
            <v>3087.04</v>
          </cell>
          <cell r="D14">
            <v>3209.79</v>
          </cell>
          <cell r="E14">
            <v>3326.44</v>
          </cell>
          <cell r="F14">
            <v>3455.35</v>
          </cell>
          <cell r="G14">
            <v>3535.15</v>
          </cell>
        </row>
        <row r="15">
          <cell r="A15">
            <v>7</v>
          </cell>
          <cell r="B15">
            <v>2696.84</v>
          </cell>
          <cell r="C15">
            <v>2912.5</v>
          </cell>
          <cell r="D15">
            <v>3074.75</v>
          </cell>
          <cell r="E15">
            <v>3197.52</v>
          </cell>
          <cell r="F15">
            <v>3295.75</v>
          </cell>
          <cell r="G15">
            <v>3381.67</v>
          </cell>
        </row>
        <row r="16">
          <cell r="A16">
            <v>6</v>
          </cell>
          <cell r="B16">
            <v>2651.42</v>
          </cell>
          <cell r="C16">
            <v>2864.88</v>
          </cell>
          <cell r="D16">
            <v>2983.94</v>
          </cell>
          <cell r="E16">
            <v>3105.46</v>
          </cell>
          <cell r="F16">
            <v>3185.24</v>
          </cell>
          <cell r="G16">
            <v>3271.18</v>
          </cell>
        </row>
        <row r="17">
          <cell r="A17">
            <v>5</v>
          </cell>
          <cell r="B17">
            <v>2547.6</v>
          </cell>
          <cell r="C17">
            <v>2757.73</v>
          </cell>
          <cell r="D17">
            <v>2876.79</v>
          </cell>
          <cell r="E17">
            <v>2989.89</v>
          </cell>
          <cell r="F17">
            <v>3080.89</v>
          </cell>
          <cell r="G17">
            <v>3142.28</v>
          </cell>
        </row>
        <row r="18">
          <cell r="A18">
            <v>4</v>
          </cell>
          <cell r="B18">
            <v>2432.59</v>
          </cell>
          <cell r="C18">
            <v>2644.64</v>
          </cell>
          <cell r="D18">
            <v>2793.45</v>
          </cell>
          <cell r="E18">
            <v>2876.79</v>
          </cell>
          <cell r="F18">
            <v>2960.14</v>
          </cell>
          <cell r="G18">
            <v>3013.7</v>
          </cell>
        </row>
        <row r="19">
          <cell r="A19">
            <v>3</v>
          </cell>
          <cell r="B19">
            <v>2401.5500000000002</v>
          </cell>
          <cell r="C19">
            <v>2608.91</v>
          </cell>
          <cell r="D19">
            <v>2668.44</v>
          </cell>
          <cell r="E19">
            <v>2763.68</v>
          </cell>
          <cell r="F19">
            <v>2841.07</v>
          </cell>
          <cell r="G19">
            <v>2906.55</v>
          </cell>
        </row>
        <row r="20">
          <cell r="A20">
            <v>2</v>
          </cell>
          <cell r="B20">
            <v>2240.12</v>
          </cell>
          <cell r="C20">
            <v>2436.27</v>
          </cell>
          <cell r="D20">
            <v>2495.81</v>
          </cell>
          <cell r="E20">
            <v>2555.33</v>
          </cell>
          <cell r="F20">
            <v>2692.24</v>
          </cell>
          <cell r="G20">
            <v>2835.13</v>
          </cell>
        </row>
        <row r="21">
          <cell r="A21">
            <v>1</v>
          </cell>
          <cell r="B21"/>
          <cell r="C21">
            <v>2037.44</v>
          </cell>
          <cell r="D21">
            <v>2067.1799999999998</v>
          </cell>
          <cell r="E21">
            <v>2102.9</v>
          </cell>
          <cell r="F21">
            <v>2138.63</v>
          </cell>
          <cell r="G21">
            <v>2227.92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 Köln">
  <a:themeElements>
    <a:clrScheme name="TH Köln">
      <a:dk1>
        <a:srgbClr val="000000"/>
      </a:dk1>
      <a:lt1>
        <a:srgbClr val="FFFFFF"/>
      </a:lt1>
      <a:dk2>
        <a:srgbClr val="808080"/>
      </a:dk2>
      <a:lt2>
        <a:srgbClr val="BFBFBF"/>
      </a:lt2>
      <a:accent1>
        <a:srgbClr val="C00009"/>
      </a:accent1>
      <a:accent2>
        <a:srgbClr val="E24300"/>
      </a:accent2>
      <a:accent3>
        <a:srgbClr val="9D167A"/>
      </a:accent3>
      <a:accent4>
        <a:srgbClr val="A00008"/>
      </a:accent4>
      <a:accent5>
        <a:srgbClr val="BB3800"/>
      </a:accent5>
      <a:accent6>
        <a:srgbClr val="740B5C"/>
      </a:accent6>
      <a:hlink>
        <a:srgbClr val="0C0C0C"/>
      </a:hlink>
      <a:folHlink>
        <a:srgbClr val="0C0C0C"/>
      </a:folHlink>
    </a:clrScheme>
    <a:fontScheme name="Office Klassisch 2">
      <a:maj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tabSelected="1" workbookViewId="0">
      <selection activeCell="D5" sqref="D5"/>
    </sheetView>
  </sheetViews>
  <sheetFormatPr baseColWidth="10" defaultRowHeight="14.25" x14ac:dyDescent="0.2"/>
  <cols>
    <col min="1" max="1" width="7.5" style="4" customWidth="1"/>
    <col min="2" max="2" width="10" style="4" customWidth="1"/>
    <col min="3" max="3" width="21.5" style="27" customWidth="1"/>
    <col min="4" max="4" width="16.875" style="21" bestFit="1" customWidth="1"/>
    <col min="5" max="5" width="6" style="4" customWidth="1"/>
    <col min="6" max="6" width="21.5" style="4" bestFit="1" customWidth="1"/>
    <col min="7" max="7" width="10.75" style="11" bestFit="1" customWidth="1"/>
    <col min="8" max="8" width="11" style="4" customWidth="1"/>
    <col min="9" max="11" width="11" style="4" hidden="1" customWidth="1"/>
    <col min="12" max="13" width="0" style="4" hidden="1" customWidth="1"/>
    <col min="14" max="16384" width="11" style="4"/>
  </cols>
  <sheetData>
    <row r="2" spans="1:10" ht="15" x14ac:dyDescent="0.25">
      <c r="C2" s="129" t="s">
        <v>52</v>
      </c>
      <c r="D2" s="129"/>
      <c r="E2" s="129"/>
      <c r="F2" s="129"/>
      <c r="G2" s="129"/>
    </row>
    <row r="3" spans="1:10" ht="15" x14ac:dyDescent="0.25">
      <c r="C3" s="5"/>
      <c r="D3" s="5"/>
      <c r="E3" s="5"/>
      <c r="F3" s="5"/>
      <c r="G3" s="5"/>
    </row>
    <row r="4" spans="1:10" s="11" customFormat="1" ht="15" x14ac:dyDescent="0.2">
      <c r="A4" s="6"/>
      <c r="B4" s="7"/>
      <c r="C4" s="8"/>
      <c r="D4" s="9"/>
      <c r="E4" s="9"/>
      <c r="F4" s="9"/>
      <c r="G4" s="10"/>
    </row>
    <row r="5" spans="1:10" ht="15" x14ac:dyDescent="0.2">
      <c r="C5" s="12" t="s">
        <v>53</v>
      </c>
      <c r="D5" s="53" t="s">
        <v>40</v>
      </c>
      <c r="F5" s="13" t="s">
        <v>0</v>
      </c>
      <c r="G5" s="2"/>
      <c r="I5" s="14">
        <f>G5</f>
        <v>0</v>
      </c>
      <c r="J5" s="15" t="s">
        <v>0</v>
      </c>
    </row>
    <row r="6" spans="1:10" x14ac:dyDescent="0.2">
      <c r="C6" s="12" t="s">
        <v>54</v>
      </c>
      <c r="D6" s="16" t="str">
        <f>IF(D5="SHK","10,00 €","15,00 €")</f>
        <v>10,00 €</v>
      </c>
      <c r="E6" s="17"/>
      <c r="F6" s="13" t="s">
        <v>62</v>
      </c>
      <c r="G6" s="2"/>
      <c r="I6" s="18">
        <f>DATE(YEAR(I5),MONTH(I5),1)</f>
        <v>1</v>
      </c>
      <c r="J6" s="15" t="s">
        <v>1</v>
      </c>
    </row>
    <row r="7" spans="1:10" x14ac:dyDescent="0.2">
      <c r="C7" s="12" t="s">
        <v>44</v>
      </c>
      <c r="D7" s="1"/>
      <c r="E7" s="17"/>
      <c r="F7" s="17"/>
      <c r="I7" s="15">
        <f>DAY(DATE(YEAR(I5),MONTH(I5)+1,1)-1)</f>
        <v>31</v>
      </c>
      <c r="J7" s="15" t="s">
        <v>2</v>
      </c>
    </row>
    <row r="8" spans="1:10" ht="78.75" customHeight="1" x14ac:dyDescent="0.2">
      <c r="B8" s="19"/>
      <c r="C8" s="20"/>
      <c r="F8" s="130" t="s">
        <v>61</v>
      </c>
      <c r="G8" s="130"/>
      <c r="I8" s="18">
        <f>DATE(YEAR($I$5),MONTH(1),DAY(1))</f>
        <v>1</v>
      </c>
      <c r="J8" s="15" t="s">
        <v>3</v>
      </c>
    </row>
    <row r="9" spans="1:10" x14ac:dyDescent="0.2">
      <c r="A9" s="18"/>
      <c r="B9" s="18"/>
      <c r="C9" s="22"/>
      <c r="E9" s="23"/>
      <c r="I9" s="4" t="e">
        <f>IF(AND(I10=0,I5&gt;I8),MONTH(I5-I8),MONTH(I5-I8)-1)</f>
        <v>#NUM!</v>
      </c>
      <c r="J9" s="15" t="s">
        <v>4</v>
      </c>
    </row>
    <row r="10" spans="1:10" ht="15" x14ac:dyDescent="0.25">
      <c r="A10" s="18"/>
      <c r="B10" s="18"/>
      <c r="C10" s="24" t="s">
        <v>58</v>
      </c>
      <c r="I10" s="25" t="e">
        <f>IF(IF(DAY(I5-I6)=0,1,DAY(I5-I6)/I7)=1,0,IF(DAY(I5-I6)=0,1,DAY(I5-I6)/I7))</f>
        <v>#NUM!</v>
      </c>
      <c r="J10" s="15" t="s">
        <v>5</v>
      </c>
    </row>
    <row r="11" spans="1:10" ht="15" x14ac:dyDescent="0.25">
      <c r="A11" s="26"/>
      <c r="I11" s="25" t="e">
        <f>12-I9-I10-I15-I16</f>
        <v>#NUM!</v>
      </c>
      <c r="J11" s="15" t="s">
        <v>6</v>
      </c>
    </row>
    <row r="12" spans="1:10" ht="30" customHeight="1" x14ac:dyDescent="0.25">
      <c r="C12" s="28" t="s">
        <v>55</v>
      </c>
      <c r="D12" s="29" t="e">
        <f>IF(D5="SHK",VLOOKUP(D7,Vergütungstabelle!A9:B23,2),VLOOKUP(D7,Vergütungstabelle!A43:B57,2))</f>
        <v>#N/A</v>
      </c>
      <c r="E12" s="30"/>
      <c r="I12" s="31" t="e">
        <f>ROUNDDOWN(I11,0)</f>
        <v>#NUM!</v>
      </c>
      <c r="J12" s="15" t="s">
        <v>7</v>
      </c>
    </row>
    <row r="13" spans="1:10" x14ac:dyDescent="0.2">
      <c r="C13" s="32" t="s">
        <v>60</v>
      </c>
      <c r="D13" s="29" t="e">
        <f>IF(D12&lt;=450,(D12*28%),(D12*9.3%))</f>
        <v>#N/A</v>
      </c>
      <c r="I13" s="15">
        <f>IF(DAY(I5)=1,0,(I7-(DAY(I5))+1))</f>
        <v>32</v>
      </c>
      <c r="J13" s="15" t="s">
        <v>14</v>
      </c>
    </row>
    <row r="14" spans="1:10" ht="30" x14ac:dyDescent="0.2">
      <c r="C14" s="33" t="s">
        <v>57</v>
      </c>
      <c r="D14" s="3" t="e">
        <f>SUM(D12:D13)</f>
        <v>#N/A</v>
      </c>
      <c r="F14" s="34" t="s">
        <v>59</v>
      </c>
      <c r="G14" s="35" t="str">
        <f>IF(G5="","",IF(AND(I13=0,I21=0),D14*I12,IF(AND(I13&gt;0,I21=0),((I12*D14)+(I13/I7)*D14),IF(AND(I13=0,I22&gt;0),((I12*D14)+(I22/I18)*D14),IF(AND(I22&gt;0,I12=1),((I13/I7)*D14+(I22/I18)*D14),IF(AND(I22&gt;0,I12&gt;1),((I13/I7)*D14+(I22/I18)*D14)+(D14*(I12-1))))))))</f>
        <v/>
      </c>
    </row>
    <row r="15" spans="1:10" x14ac:dyDescent="0.2">
      <c r="I15" s="4">
        <f>MONTH(I19)-MONTH(I20)</f>
        <v>11</v>
      </c>
      <c r="J15" s="15" t="s">
        <v>8</v>
      </c>
    </row>
    <row r="16" spans="1:10" x14ac:dyDescent="0.2">
      <c r="E16" s="36"/>
      <c r="I16" s="25">
        <f>DAY(I17-I20)/I18</f>
        <v>1</v>
      </c>
      <c r="J16" s="15" t="s">
        <v>9</v>
      </c>
    </row>
    <row r="17" spans="1:10" x14ac:dyDescent="0.2">
      <c r="C17" s="37" t="s">
        <v>17</v>
      </c>
      <c r="I17" s="18">
        <f>DATE(YEAR(I20),MONTH(I20),I18)</f>
        <v>31</v>
      </c>
      <c r="J17" s="15" t="s">
        <v>10</v>
      </c>
    </row>
    <row r="18" spans="1:10" x14ac:dyDescent="0.2">
      <c r="I18" s="4">
        <f>IF(YEAR(I20)=YEAR(I5),DAY(DATE(YEAR(I20),MONTH(I20)+1,1)-1),"")</f>
        <v>31</v>
      </c>
      <c r="J18" s="15" t="s">
        <v>11</v>
      </c>
    </row>
    <row r="19" spans="1:10" x14ac:dyDescent="0.2">
      <c r="A19" s="38"/>
      <c r="B19" s="38"/>
      <c r="I19" s="18">
        <f>DATE(YEAR(I5),12,31)</f>
        <v>366</v>
      </c>
      <c r="J19" s="15" t="s">
        <v>12</v>
      </c>
    </row>
    <row r="20" spans="1:10" x14ac:dyDescent="0.2">
      <c r="A20" s="18"/>
      <c r="B20" s="18"/>
      <c r="C20" s="39" t="s">
        <v>56</v>
      </c>
      <c r="I20" s="14">
        <f>IF($G$6&gt;=I19,I19,$G$6)</f>
        <v>0</v>
      </c>
      <c r="J20" s="15" t="s">
        <v>13</v>
      </c>
    </row>
    <row r="21" spans="1:10" x14ac:dyDescent="0.2">
      <c r="A21" s="18"/>
      <c r="B21" s="18"/>
      <c r="C21" s="40" t="s">
        <v>37</v>
      </c>
      <c r="I21" s="15">
        <f>IF(DAY(I20)&lt;I18,(I18-(DAY(I20))+1),0)</f>
        <v>32</v>
      </c>
      <c r="J21" s="15" t="s">
        <v>15</v>
      </c>
    </row>
    <row r="22" spans="1:10" x14ac:dyDescent="0.2">
      <c r="C22" s="40" t="s">
        <v>38</v>
      </c>
      <c r="I22" s="4">
        <f>DAY(I20)</f>
        <v>0</v>
      </c>
      <c r="J22" s="15" t="s">
        <v>16</v>
      </c>
    </row>
    <row r="23" spans="1:10" x14ac:dyDescent="0.2">
      <c r="A23" s="18"/>
      <c r="B23" s="18"/>
      <c r="C23" s="22"/>
      <c r="I23" s="4">
        <f>YEAR(I20)</f>
        <v>1900</v>
      </c>
      <c r="J23" s="15" t="s">
        <v>19</v>
      </c>
    </row>
    <row r="24" spans="1:10" x14ac:dyDescent="0.2">
      <c r="A24" s="18"/>
      <c r="B24" s="18"/>
      <c r="C24" s="22"/>
      <c r="F24" s="41"/>
    </row>
    <row r="25" spans="1:10" x14ac:dyDescent="0.2">
      <c r="A25" s="18"/>
      <c r="B25" s="18"/>
      <c r="C25" s="22"/>
      <c r="I25" s="4" t="s">
        <v>21</v>
      </c>
    </row>
    <row r="26" spans="1:10" x14ac:dyDescent="0.2">
      <c r="A26" s="18"/>
      <c r="B26" s="18"/>
      <c r="C26" s="22"/>
      <c r="I26" s="14" t="str">
        <f>IF(DATE(YEAR(I5)+1,MONTH(1),DAY(1))&lt;=G6,DATE(YEAR(I5)+1,MONTH(1),DAY(1)),"")</f>
        <v/>
      </c>
      <c r="J26" s="15" t="s">
        <v>3</v>
      </c>
    </row>
    <row r="27" spans="1:10" x14ac:dyDescent="0.2">
      <c r="I27" s="18" t="str">
        <f>I26</f>
        <v/>
      </c>
      <c r="J27" s="15" t="s">
        <v>1</v>
      </c>
    </row>
    <row r="28" spans="1:10" x14ac:dyDescent="0.2">
      <c r="A28" s="18"/>
      <c r="B28" s="18"/>
      <c r="C28" s="22"/>
      <c r="I28" s="15" t="e">
        <f>DAY(DATE(YEAR(I26),MONTH(I26)+1,1)-1)</f>
        <v>#VALUE!</v>
      </c>
      <c r="J28" s="15" t="s">
        <v>2</v>
      </c>
    </row>
    <row r="29" spans="1:10" x14ac:dyDescent="0.2">
      <c r="A29" s="38"/>
      <c r="B29" s="38"/>
      <c r="C29" s="42"/>
      <c r="I29" s="18" t="str">
        <f>I26</f>
        <v/>
      </c>
      <c r="J29" s="15" t="s">
        <v>3</v>
      </c>
    </row>
    <row r="30" spans="1:10" x14ac:dyDescent="0.2">
      <c r="A30" s="18"/>
      <c r="B30" s="18"/>
      <c r="C30" s="22"/>
      <c r="I30" s="4" t="e">
        <f>MONTH(I26-I29)-1</f>
        <v>#VALUE!</v>
      </c>
      <c r="J30" s="15" t="s">
        <v>4</v>
      </c>
    </row>
    <row r="31" spans="1:10" x14ac:dyDescent="0.2">
      <c r="A31" s="18"/>
      <c r="B31" s="18"/>
      <c r="C31" s="22"/>
      <c r="I31" s="25" t="e">
        <f>DAY(I26-I27)/I28</f>
        <v>#VALUE!</v>
      </c>
      <c r="J31" s="15" t="s">
        <v>5</v>
      </c>
    </row>
    <row r="32" spans="1:10" x14ac:dyDescent="0.2">
      <c r="A32" s="18"/>
      <c r="B32" s="18"/>
      <c r="C32" s="22"/>
      <c r="I32" s="43" t="str">
        <f>IF(D27=2019,VLOOKUP($G$14,'[1]EG-Tabelle-Stand-01.01.2019'!$A$5:$G$21,[1]Hintergrundberechnungen!$D$4+1,FALSE),IF(D27=2020,VLOOKUP($G$14,'[1]EG-Tabelle-Stand-01.01.2020'!$A$5:$G$21,[1]Hintergrundberechnungen!$D$4+1,FALSE),IF(D27=2021,VLOOKUP($G$14,'[1]EG-Tabelle-Stand-01.01.2021'!$A$5:$G$21,[1]Hintergrundberechnungen!$D$4+1,FALSE),IF(D27=2022,(VLOOKUP($G$14,'[1]EG-Tabelle-Stand-01.01.2021'!$A$5:$G$21,[1]Hintergrundberechnungen!$D$4+1,FALSE)*#REF!),IF(D27=2023,(VLOOKUP($G$14,'[1]EG-Tabelle-Stand-01.01.2021'!$A$5:$G$21,[1]Hintergrundberechnungen!$D$4+1,FALSE)*#REF!),IF(D27=2024,(VLOOKUP($G$14,'[1]EG-Tabelle-Stand-01.01.2021'!$A$5:$G$21,[1]Hintergrundberechnungen!$D$4+1,FALSE)*#REF!),IF(D27=2025,(VLOOKUP($G$14,'[1]EG-Tabelle-Stand-01.01.2021'!$A$5:$G$21,[1]Hintergrundberechnungen!$D$4+1,FALSE)*#REF!),IF(D27=2026,(VLOOKUP($G$14,'[1]EG-Tabelle-Stand-01.01.2021'!$A$5:$G$21,[1]Hintergrundberechnungen!$D$4+1,FALSE)*#REF!),IF(D27=2027,(VLOOKUP($G$14,'[1]EG-Tabelle-Stand-01.01.2021'!$A$5:$G$21,[1]Hintergrundberechnungen!$D$4+1,FALSE)*#REF!),IF(D27=2028,(VLOOKUP($G$14,'[1]EG-Tabelle-Stand-01.01.2021'!$A$5:$G$21,[1]Hintergrundberechnungen!$D$4+1,FALSE)*#REF!),""))))))))))</f>
        <v/>
      </c>
      <c r="J32" s="15" t="s">
        <v>18</v>
      </c>
    </row>
    <row r="33" spans="1:10" x14ac:dyDescent="0.2">
      <c r="B33" s="18"/>
      <c r="C33" s="22"/>
      <c r="I33" s="44" t="e">
        <f>12-I30-I31-I37-I38</f>
        <v>#VALUE!</v>
      </c>
      <c r="J33" s="15" t="s">
        <v>6</v>
      </c>
    </row>
    <row r="34" spans="1:10" x14ac:dyDescent="0.2">
      <c r="A34" s="18"/>
      <c r="B34" s="18"/>
      <c r="C34" s="22"/>
      <c r="I34" s="31" t="e">
        <f>ROUNDDOWN(I33,0)</f>
        <v>#VALUE!</v>
      </c>
      <c r="J34" s="15" t="s">
        <v>7</v>
      </c>
    </row>
    <row r="35" spans="1:10" x14ac:dyDescent="0.2">
      <c r="B35" s="45"/>
      <c r="C35" s="46"/>
      <c r="D35" s="47"/>
      <c r="E35" s="45"/>
      <c r="F35" s="48"/>
      <c r="G35" s="49"/>
      <c r="I35" s="15" t="e">
        <f>IF(DAY(I27)=1,0,(I29-(DAY(I27))+1))</f>
        <v>#VALUE!</v>
      </c>
      <c r="J35" s="15" t="s">
        <v>14</v>
      </c>
    </row>
    <row r="36" spans="1:10" x14ac:dyDescent="0.2">
      <c r="B36" s="50"/>
      <c r="C36" s="46"/>
      <c r="D36" s="47"/>
      <c r="E36" s="45"/>
      <c r="F36" s="48"/>
      <c r="G36" s="49"/>
    </row>
    <row r="37" spans="1:10" x14ac:dyDescent="0.2">
      <c r="B37" s="45"/>
      <c r="C37" s="46"/>
      <c r="D37" s="47"/>
      <c r="E37" s="45"/>
      <c r="F37" s="48"/>
      <c r="G37" s="49"/>
      <c r="I37" s="4" t="e">
        <f>MONTH(I41)-MONTH(I42)</f>
        <v>#VALUE!</v>
      </c>
      <c r="J37" s="15" t="s">
        <v>8</v>
      </c>
    </row>
    <row r="38" spans="1:10" x14ac:dyDescent="0.2">
      <c r="A38" s="40"/>
      <c r="B38" s="45"/>
      <c r="C38" s="51"/>
      <c r="D38" s="47"/>
      <c r="E38" s="45"/>
      <c r="F38" s="45"/>
      <c r="G38" s="52"/>
      <c r="I38" s="25" t="e">
        <f>DAY(I39-I42)/I40</f>
        <v>#VALUE!</v>
      </c>
      <c r="J38" s="15" t="s">
        <v>9</v>
      </c>
    </row>
    <row r="39" spans="1:10" x14ac:dyDescent="0.2">
      <c r="A39" s="45"/>
      <c r="B39" s="45"/>
      <c r="C39" s="46"/>
      <c r="D39" s="47"/>
      <c r="E39" s="45"/>
      <c r="F39" s="45"/>
      <c r="G39" s="52" t="s">
        <v>39</v>
      </c>
      <c r="I39" s="18" t="e">
        <f>DATE(YEAR(I42),MONTH(I42),I40)</f>
        <v>#VALUE!</v>
      </c>
      <c r="J39" s="15" t="s">
        <v>10</v>
      </c>
    </row>
    <row r="40" spans="1:10" x14ac:dyDescent="0.2">
      <c r="A40" s="18"/>
      <c r="B40" s="18"/>
      <c r="C40" s="22"/>
      <c r="I40" s="4" t="e">
        <f>IF(YEAR(I42)=YEAR(I26),DAY(DATE(YEAR(I42),MONTH(I42)+1,1)-1),"")</f>
        <v>#VALUE!</v>
      </c>
      <c r="J40" s="15" t="s">
        <v>11</v>
      </c>
    </row>
    <row r="41" spans="1:10" x14ac:dyDescent="0.2">
      <c r="A41" s="18"/>
      <c r="B41" s="18"/>
      <c r="C41" s="22"/>
      <c r="I41" s="18" t="e">
        <f>DATE(YEAR(I26),12,31)</f>
        <v>#VALUE!</v>
      </c>
      <c r="J41" s="15" t="s">
        <v>12</v>
      </c>
    </row>
    <row r="42" spans="1:10" x14ac:dyDescent="0.2">
      <c r="A42" s="18"/>
      <c r="B42" s="18"/>
      <c r="C42" s="22"/>
      <c r="I42" s="14" t="e">
        <f>IF($G$6&gt;=I41,I41,$G$6)</f>
        <v>#VALUE!</v>
      </c>
      <c r="J42" s="15" t="s">
        <v>13</v>
      </c>
    </row>
    <row r="43" spans="1:10" x14ac:dyDescent="0.2">
      <c r="A43" s="18"/>
      <c r="B43" s="18"/>
      <c r="C43" s="22"/>
      <c r="I43" s="15" t="e">
        <f>IF(DAY(I42)&lt;I40,(I40-(DAY(I42))+1),0)</f>
        <v>#VALUE!</v>
      </c>
      <c r="J43" s="15" t="s">
        <v>15</v>
      </c>
    </row>
    <row r="44" spans="1:10" x14ac:dyDescent="0.2">
      <c r="A44" s="18"/>
      <c r="B44" s="18"/>
      <c r="C44" s="22"/>
      <c r="I44" s="4" t="e">
        <f>DAY(I42)</f>
        <v>#VALUE!</v>
      </c>
      <c r="J44" s="15" t="s">
        <v>16</v>
      </c>
    </row>
    <row r="45" spans="1:10" x14ac:dyDescent="0.2">
      <c r="A45" s="18"/>
      <c r="B45" s="18"/>
      <c r="C45" s="22"/>
      <c r="I45" s="4" t="e">
        <f>YEAR(I42)</f>
        <v>#VALUE!</v>
      </c>
      <c r="J45" s="15" t="s">
        <v>20</v>
      </c>
    </row>
    <row r="46" spans="1:10" x14ac:dyDescent="0.2">
      <c r="A46" s="18"/>
      <c r="B46" s="18"/>
      <c r="C46" s="22"/>
    </row>
    <row r="47" spans="1:10" x14ac:dyDescent="0.2">
      <c r="A47" s="18"/>
      <c r="B47" s="18"/>
      <c r="C47" s="22"/>
    </row>
    <row r="48" spans="1:10" x14ac:dyDescent="0.2">
      <c r="A48" s="18"/>
      <c r="B48" s="18"/>
      <c r="C48" s="22"/>
    </row>
    <row r="49" spans="1:3" x14ac:dyDescent="0.2">
      <c r="A49" s="18"/>
      <c r="B49" s="18"/>
      <c r="C49" s="22"/>
    </row>
    <row r="50" spans="1:3" x14ac:dyDescent="0.2">
      <c r="A50" s="18"/>
      <c r="B50" s="18"/>
      <c r="C50" s="22"/>
    </row>
    <row r="51" spans="1:3" x14ac:dyDescent="0.2">
      <c r="A51" s="18"/>
      <c r="B51" s="18"/>
      <c r="C51" s="22"/>
    </row>
    <row r="52" spans="1:3" x14ac:dyDescent="0.2">
      <c r="A52" s="18"/>
      <c r="B52" s="18"/>
      <c r="C52" s="22"/>
    </row>
    <row r="53" spans="1:3" x14ac:dyDescent="0.2">
      <c r="A53" s="18"/>
      <c r="B53" s="18"/>
      <c r="C53" s="22"/>
    </row>
    <row r="54" spans="1:3" x14ac:dyDescent="0.2">
      <c r="A54" s="18"/>
      <c r="B54" s="18"/>
      <c r="C54" s="22"/>
    </row>
    <row r="55" spans="1:3" x14ac:dyDescent="0.2">
      <c r="A55" s="18"/>
      <c r="B55" s="18"/>
      <c r="C55" s="22"/>
    </row>
    <row r="56" spans="1:3" x14ac:dyDescent="0.2">
      <c r="A56" s="18"/>
      <c r="B56" s="18"/>
      <c r="C56" s="22"/>
    </row>
    <row r="57" spans="1:3" x14ac:dyDescent="0.2">
      <c r="A57" s="18"/>
      <c r="B57" s="18"/>
      <c r="C57" s="22"/>
    </row>
    <row r="58" spans="1:3" x14ac:dyDescent="0.2">
      <c r="A58" s="18"/>
      <c r="B58" s="18"/>
      <c r="C58" s="22"/>
    </row>
    <row r="59" spans="1:3" x14ac:dyDescent="0.2">
      <c r="A59" s="18"/>
      <c r="B59" s="18"/>
      <c r="C59" s="22"/>
    </row>
    <row r="60" spans="1:3" x14ac:dyDescent="0.2">
      <c r="A60" s="18"/>
      <c r="B60" s="18"/>
      <c r="C60" s="22"/>
    </row>
    <row r="61" spans="1:3" x14ac:dyDescent="0.2">
      <c r="A61" s="18"/>
      <c r="B61" s="18"/>
      <c r="C61" s="22"/>
    </row>
    <row r="62" spans="1:3" x14ac:dyDescent="0.2">
      <c r="A62" s="18"/>
      <c r="B62" s="18"/>
      <c r="C62" s="22"/>
    </row>
    <row r="63" spans="1:3" x14ac:dyDescent="0.2">
      <c r="A63" s="18"/>
      <c r="B63" s="18"/>
      <c r="C63" s="22"/>
    </row>
    <row r="64" spans="1:3" x14ac:dyDescent="0.2">
      <c r="A64" s="18"/>
      <c r="B64" s="18"/>
      <c r="C64" s="22"/>
    </row>
    <row r="65" spans="1:3" x14ac:dyDescent="0.2">
      <c r="A65" s="18"/>
      <c r="B65" s="18"/>
      <c r="C65" s="22"/>
    </row>
    <row r="66" spans="1:3" x14ac:dyDescent="0.2">
      <c r="A66" s="18"/>
      <c r="B66" s="18"/>
      <c r="C66" s="22"/>
    </row>
    <row r="67" spans="1:3" x14ac:dyDescent="0.2">
      <c r="A67" s="18"/>
      <c r="B67" s="18"/>
      <c r="C67" s="22"/>
    </row>
    <row r="68" spans="1:3" x14ac:dyDescent="0.2">
      <c r="A68" s="18"/>
      <c r="B68" s="18"/>
      <c r="C68" s="22"/>
    </row>
    <row r="69" spans="1:3" x14ac:dyDescent="0.2">
      <c r="A69" s="18"/>
      <c r="B69" s="18"/>
      <c r="C69" s="22"/>
    </row>
    <row r="70" spans="1:3" x14ac:dyDescent="0.2">
      <c r="A70" s="18"/>
      <c r="B70" s="18"/>
      <c r="C70" s="22"/>
    </row>
    <row r="71" spans="1:3" x14ac:dyDescent="0.2">
      <c r="A71" s="18"/>
      <c r="B71" s="18"/>
      <c r="C71" s="22"/>
    </row>
    <row r="72" spans="1:3" x14ac:dyDescent="0.2">
      <c r="A72" s="18"/>
      <c r="B72" s="18"/>
      <c r="C72" s="22"/>
    </row>
    <row r="73" spans="1:3" x14ac:dyDescent="0.2">
      <c r="A73" s="18"/>
      <c r="B73" s="18"/>
      <c r="C73" s="22"/>
    </row>
    <row r="74" spans="1:3" x14ac:dyDescent="0.2">
      <c r="A74" s="18"/>
      <c r="B74" s="18"/>
      <c r="C74" s="22"/>
    </row>
    <row r="75" spans="1:3" x14ac:dyDescent="0.2">
      <c r="A75" s="18"/>
      <c r="B75" s="18"/>
      <c r="C75" s="22"/>
    </row>
    <row r="76" spans="1:3" x14ac:dyDescent="0.2">
      <c r="A76" s="18"/>
      <c r="B76" s="18"/>
      <c r="C76" s="22"/>
    </row>
    <row r="77" spans="1:3" x14ac:dyDescent="0.2">
      <c r="A77" s="18"/>
      <c r="B77" s="18"/>
      <c r="C77" s="22"/>
    </row>
    <row r="78" spans="1:3" x14ac:dyDescent="0.2">
      <c r="A78" s="18"/>
      <c r="B78" s="18"/>
      <c r="C78" s="22"/>
    </row>
    <row r="79" spans="1:3" x14ac:dyDescent="0.2">
      <c r="A79" s="18"/>
      <c r="B79" s="18"/>
      <c r="C79" s="22"/>
    </row>
    <row r="80" spans="1:3" x14ac:dyDescent="0.2">
      <c r="A80" s="18"/>
      <c r="B80" s="18"/>
      <c r="C80" s="22"/>
    </row>
    <row r="81" spans="1:3" x14ac:dyDescent="0.2">
      <c r="A81" s="18"/>
      <c r="B81" s="18"/>
      <c r="C81" s="22"/>
    </row>
    <row r="82" spans="1:3" x14ac:dyDescent="0.2">
      <c r="A82" s="18"/>
      <c r="B82" s="18"/>
      <c r="C82" s="22"/>
    </row>
    <row r="83" spans="1:3" x14ac:dyDescent="0.2">
      <c r="A83" s="18"/>
      <c r="B83" s="18"/>
      <c r="C83" s="22"/>
    </row>
    <row r="84" spans="1:3" x14ac:dyDescent="0.2">
      <c r="A84" s="18"/>
      <c r="B84" s="18"/>
      <c r="C84" s="22"/>
    </row>
    <row r="85" spans="1:3" x14ac:dyDescent="0.2">
      <c r="A85" s="18"/>
      <c r="B85" s="18"/>
      <c r="C85" s="22"/>
    </row>
    <row r="86" spans="1:3" x14ac:dyDescent="0.2">
      <c r="A86" s="18"/>
      <c r="B86" s="18"/>
      <c r="C86" s="22"/>
    </row>
    <row r="87" spans="1:3" x14ac:dyDescent="0.2">
      <c r="A87" s="18"/>
      <c r="B87" s="18"/>
      <c r="C87" s="22"/>
    </row>
    <row r="88" spans="1:3" x14ac:dyDescent="0.2">
      <c r="A88" s="18"/>
      <c r="B88" s="18"/>
      <c r="C88" s="22"/>
    </row>
    <row r="89" spans="1:3" x14ac:dyDescent="0.2">
      <c r="A89" s="18"/>
      <c r="B89" s="18"/>
      <c r="C89" s="22"/>
    </row>
    <row r="90" spans="1:3" x14ac:dyDescent="0.2">
      <c r="A90" s="18"/>
      <c r="B90" s="18"/>
      <c r="C90" s="22"/>
    </row>
    <row r="91" spans="1:3" x14ac:dyDescent="0.2">
      <c r="A91" s="18"/>
      <c r="B91" s="18"/>
      <c r="C91" s="22"/>
    </row>
    <row r="92" spans="1:3" x14ac:dyDescent="0.2">
      <c r="A92" s="18"/>
      <c r="B92" s="18"/>
      <c r="C92" s="22"/>
    </row>
    <row r="93" spans="1:3" x14ac:dyDescent="0.2">
      <c r="A93" s="18"/>
      <c r="B93" s="18"/>
      <c r="C93" s="22"/>
    </row>
    <row r="94" spans="1:3" x14ac:dyDescent="0.2">
      <c r="A94" s="18"/>
      <c r="B94" s="18"/>
      <c r="C94" s="22"/>
    </row>
    <row r="95" spans="1:3" x14ac:dyDescent="0.2">
      <c r="A95" s="18"/>
      <c r="B95" s="18"/>
      <c r="C95" s="22"/>
    </row>
    <row r="96" spans="1:3" x14ac:dyDescent="0.2">
      <c r="A96" s="18"/>
      <c r="B96" s="18"/>
      <c r="C96" s="22"/>
    </row>
    <row r="97" spans="1:3" x14ac:dyDescent="0.2">
      <c r="A97" s="18"/>
      <c r="B97" s="18"/>
      <c r="C97" s="22"/>
    </row>
    <row r="98" spans="1:3" x14ac:dyDescent="0.2">
      <c r="A98" s="18"/>
      <c r="B98" s="18"/>
      <c r="C98" s="22"/>
    </row>
  </sheetData>
  <sheetProtection algorithmName="SHA-512" hashValue="ERv3WV0kur5/Toj0rfP+Ofg1nIfWyfKsemQl7oJiseMQ9YxPlI4+ZZnAmh6JOtPesK/4AyiZlzyLPmCc2QCcWA==" saltValue="71RHbg/QSg5O3eQufxXxsw==" spinCount="100000" sheet="1" selectLockedCells="1"/>
  <mergeCells count="2">
    <mergeCell ref="C2:G2"/>
    <mergeCell ref="F8:G8"/>
  </mergeCells>
  <dataValidations count="1">
    <dataValidation type="list" allowBlank="1" showInputMessage="1" showErrorMessage="1" sqref="D5">
      <formula1>"SHK,WHK"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baseColWidth="10" defaultRowHeight="14.25" x14ac:dyDescent="0.2"/>
  <cols>
    <col min="1" max="2" width="11" style="4"/>
    <col min="3" max="3" width="22.125" style="4" bestFit="1" customWidth="1"/>
    <col min="4" max="4" width="16.625" style="4" bestFit="1" customWidth="1"/>
    <col min="5" max="5" width="18.75" style="4" bestFit="1" customWidth="1"/>
    <col min="6" max="6" width="20.125" style="4" bestFit="1" customWidth="1"/>
    <col min="7" max="7" width="16.25" style="4" bestFit="1" customWidth="1"/>
    <col min="8" max="16384" width="11" style="4"/>
  </cols>
  <sheetData>
    <row r="1" spans="1:7" ht="15" thickBot="1" x14ac:dyDescent="0.25">
      <c r="A1" s="54"/>
      <c r="B1" s="54"/>
      <c r="C1" s="54"/>
      <c r="D1" s="54"/>
      <c r="E1" s="54"/>
      <c r="F1" s="54"/>
      <c r="G1" s="54"/>
    </row>
    <row r="2" spans="1:7" ht="16.5" thickBot="1" x14ac:dyDescent="0.3">
      <c r="A2" s="131" t="s">
        <v>23</v>
      </c>
      <c r="B2" s="132"/>
      <c r="C2" s="132"/>
      <c r="D2" s="132"/>
      <c r="E2" s="132"/>
      <c r="F2" s="132"/>
      <c r="G2" s="133"/>
    </row>
    <row r="3" spans="1:7" x14ac:dyDescent="0.2">
      <c r="A3" s="54"/>
      <c r="B3" s="54"/>
      <c r="C3" s="54"/>
      <c r="D3" s="54"/>
      <c r="E3" s="54"/>
      <c r="F3" s="54"/>
      <c r="G3" s="40"/>
    </row>
    <row r="4" spans="1:7" x14ac:dyDescent="0.2">
      <c r="A4" s="54"/>
      <c r="B4" s="54"/>
      <c r="C4" s="54" t="s">
        <v>24</v>
      </c>
      <c r="D4" s="54"/>
      <c r="E4" s="54"/>
      <c r="F4" s="54"/>
      <c r="G4" s="54"/>
    </row>
    <row r="5" spans="1:7" x14ac:dyDescent="0.2">
      <c r="A5" s="54"/>
      <c r="B5" s="39"/>
      <c r="C5" s="54"/>
      <c r="D5" s="54"/>
      <c r="E5" s="54"/>
      <c r="F5" s="54"/>
      <c r="G5" s="54"/>
    </row>
    <row r="6" spans="1:7" x14ac:dyDescent="0.2">
      <c r="A6" s="54"/>
      <c r="B6" s="39"/>
      <c r="C6" s="54"/>
      <c r="D6" s="54"/>
      <c r="E6" s="54"/>
      <c r="F6" s="54"/>
      <c r="G6" s="54"/>
    </row>
    <row r="7" spans="1:7" x14ac:dyDescent="0.2">
      <c r="A7" s="55" t="s">
        <v>25</v>
      </c>
      <c r="B7" s="55" t="s">
        <v>22</v>
      </c>
      <c r="C7" s="55" t="s">
        <v>26</v>
      </c>
      <c r="D7" s="56" t="s">
        <v>27</v>
      </c>
      <c r="E7" s="55" t="s">
        <v>28</v>
      </c>
      <c r="F7" s="55" t="s">
        <v>29</v>
      </c>
      <c r="G7" s="56" t="s">
        <v>27</v>
      </c>
    </row>
    <row r="8" spans="1:7" ht="26.25" thickBot="1" x14ac:dyDescent="0.25">
      <c r="A8" s="57" t="s">
        <v>30</v>
      </c>
      <c r="B8" s="57" t="s">
        <v>31</v>
      </c>
      <c r="C8" s="58" t="s">
        <v>32</v>
      </c>
      <c r="D8" s="59" t="s">
        <v>33</v>
      </c>
      <c r="E8" s="60" t="s">
        <v>22</v>
      </c>
      <c r="F8" s="60" t="s">
        <v>34</v>
      </c>
      <c r="G8" s="61" t="s">
        <v>35</v>
      </c>
    </row>
    <row r="9" spans="1:7" ht="15" thickTop="1" x14ac:dyDescent="0.2">
      <c r="A9" s="62">
        <v>3</v>
      </c>
      <c r="B9" s="63">
        <f t="shared" ref="B9:B23" si="0">A9*4.348*10</f>
        <v>130.44</v>
      </c>
      <c r="C9" s="63">
        <f t="shared" ref="C9:C16" si="1">B9*28%</f>
        <v>36.523200000000003</v>
      </c>
      <c r="D9" s="64">
        <f t="shared" ref="D9:D16" si="2">B9+C9</f>
        <v>166.9632</v>
      </c>
      <c r="E9" s="65">
        <f t="shared" ref="E9:E23" si="3">A9*4.348*5.58</f>
        <v>72.785520000000005</v>
      </c>
      <c r="F9" s="66">
        <f t="shared" ref="F9:F23" si="4">B9*9.3%</f>
        <v>12.130920000000001</v>
      </c>
      <c r="G9" s="66">
        <f t="shared" ref="G9:G23" si="5">B9+F9</f>
        <v>142.57092</v>
      </c>
    </row>
    <row r="10" spans="1:7" x14ac:dyDescent="0.2">
      <c r="A10" s="67">
        <v>4</v>
      </c>
      <c r="B10" s="68">
        <f t="shared" si="0"/>
        <v>173.92</v>
      </c>
      <c r="C10" s="69">
        <f t="shared" si="1"/>
        <v>48.697600000000001</v>
      </c>
      <c r="D10" s="70">
        <f t="shared" si="2"/>
        <v>222.61759999999998</v>
      </c>
      <c r="E10" s="71">
        <f t="shared" si="3"/>
        <v>97.047359999999998</v>
      </c>
      <c r="F10" s="72">
        <f t="shared" si="4"/>
        <v>16.17456</v>
      </c>
      <c r="G10" s="72">
        <f t="shared" si="5"/>
        <v>190.09456</v>
      </c>
    </row>
    <row r="11" spans="1:7" x14ac:dyDescent="0.2">
      <c r="A11" s="67">
        <v>5</v>
      </c>
      <c r="B11" s="68">
        <f t="shared" si="0"/>
        <v>217.39999999999998</v>
      </c>
      <c r="C11" s="69">
        <f t="shared" si="1"/>
        <v>60.872</v>
      </c>
      <c r="D11" s="70">
        <f t="shared" si="2"/>
        <v>278.27199999999999</v>
      </c>
      <c r="E11" s="71">
        <f t="shared" si="3"/>
        <v>121.30919999999999</v>
      </c>
      <c r="F11" s="72">
        <f t="shared" si="4"/>
        <v>20.2182</v>
      </c>
      <c r="G11" s="72">
        <f t="shared" si="5"/>
        <v>237.61819999999997</v>
      </c>
    </row>
    <row r="12" spans="1:7" x14ac:dyDescent="0.2">
      <c r="A12" s="67">
        <v>6</v>
      </c>
      <c r="B12" s="68">
        <f t="shared" si="0"/>
        <v>260.88</v>
      </c>
      <c r="C12" s="69">
        <f t="shared" si="1"/>
        <v>73.046400000000006</v>
      </c>
      <c r="D12" s="70">
        <f t="shared" si="2"/>
        <v>333.9264</v>
      </c>
      <c r="E12" s="71">
        <f t="shared" si="3"/>
        <v>145.57104000000001</v>
      </c>
      <c r="F12" s="72">
        <f t="shared" si="4"/>
        <v>24.261840000000003</v>
      </c>
      <c r="G12" s="72">
        <f t="shared" si="5"/>
        <v>285.14184</v>
      </c>
    </row>
    <row r="13" spans="1:7" x14ac:dyDescent="0.2">
      <c r="A13" s="67">
        <v>7</v>
      </c>
      <c r="B13" s="68">
        <f t="shared" si="0"/>
        <v>304.36</v>
      </c>
      <c r="C13" s="69">
        <f t="shared" si="1"/>
        <v>85.220800000000011</v>
      </c>
      <c r="D13" s="70">
        <f t="shared" si="2"/>
        <v>389.58080000000001</v>
      </c>
      <c r="E13" s="71">
        <f t="shared" si="3"/>
        <v>169.83287999999999</v>
      </c>
      <c r="F13" s="72">
        <f t="shared" si="4"/>
        <v>28.305480000000006</v>
      </c>
      <c r="G13" s="72">
        <f t="shared" si="5"/>
        <v>332.66548</v>
      </c>
    </row>
    <row r="14" spans="1:7" x14ac:dyDescent="0.2">
      <c r="A14" s="67">
        <v>8</v>
      </c>
      <c r="B14" s="68">
        <f t="shared" si="0"/>
        <v>347.84</v>
      </c>
      <c r="C14" s="69">
        <f t="shared" si="1"/>
        <v>97.395200000000003</v>
      </c>
      <c r="D14" s="70">
        <f t="shared" si="2"/>
        <v>445.23519999999996</v>
      </c>
      <c r="E14" s="71">
        <f t="shared" si="3"/>
        <v>194.09472</v>
      </c>
      <c r="F14" s="72">
        <f t="shared" si="4"/>
        <v>32.349119999999999</v>
      </c>
      <c r="G14" s="72">
        <f t="shared" si="5"/>
        <v>380.18912</v>
      </c>
    </row>
    <row r="15" spans="1:7" x14ac:dyDescent="0.2">
      <c r="A15" s="67">
        <v>9</v>
      </c>
      <c r="B15" s="68">
        <f t="shared" si="0"/>
        <v>391.32</v>
      </c>
      <c r="C15" s="69">
        <f t="shared" si="1"/>
        <v>109.56960000000001</v>
      </c>
      <c r="D15" s="70">
        <f t="shared" si="2"/>
        <v>500.88959999999997</v>
      </c>
      <c r="E15" s="71">
        <f t="shared" si="3"/>
        <v>218.35656</v>
      </c>
      <c r="F15" s="72">
        <f t="shared" si="4"/>
        <v>36.392760000000003</v>
      </c>
      <c r="G15" s="72">
        <f t="shared" si="5"/>
        <v>427.71276</v>
      </c>
    </row>
    <row r="16" spans="1:7" ht="15" thickBot="1" x14ac:dyDescent="0.25">
      <c r="A16" s="73">
        <v>10</v>
      </c>
      <c r="B16" s="74">
        <f t="shared" si="0"/>
        <v>434.79999999999995</v>
      </c>
      <c r="C16" s="75">
        <f t="shared" si="1"/>
        <v>121.744</v>
      </c>
      <c r="D16" s="76">
        <f t="shared" si="2"/>
        <v>556.54399999999998</v>
      </c>
      <c r="E16" s="71">
        <f t="shared" si="3"/>
        <v>242.61839999999998</v>
      </c>
      <c r="F16" s="77">
        <f t="shared" si="4"/>
        <v>40.436399999999999</v>
      </c>
      <c r="G16" s="77">
        <f t="shared" si="5"/>
        <v>475.23639999999995</v>
      </c>
    </row>
    <row r="17" spans="1:7" x14ac:dyDescent="0.2">
      <c r="A17" s="78">
        <v>11</v>
      </c>
      <c r="B17" s="79">
        <f t="shared" si="0"/>
        <v>478.28</v>
      </c>
      <c r="C17" s="79"/>
      <c r="D17" s="80"/>
      <c r="E17" s="81">
        <f t="shared" si="3"/>
        <v>266.88023999999996</v>
      </c>
      <c r="F17" s="82">
        <f t="shared" si="4"/>
        <v>44.480040000000002</v>
      </c>
      <c r="G17" s="64">
        <f t="shared" si="5"/>
        <v>522.76004</v>
      </c>
    </row>
    <row r="18" spans="1:7" x14ac:dyDescent="0.2">
      <c r="A18" s="78">
        <v>12</v>
      </c>
      <c r="B18" s="79">
        <f t="shared" si="0"/>
        <v>521.76</v>
      </c>
      <c r="C18" s="79"/>
      <c r="D18" s="79"/>
      <c r="E18" s="81">
        <f t="shared" si="3"/>
        <v>291.14208000000002</v>
      </c>
      <c r="F18" s="83">
        <f t="shared" si="4"/>
        <v>48.523680000000006</v>
      </c>
      <c r="G18" s="70">
        <f t="shared" si="5"/>
        <v>570.28368</v>
      </c>
    </row>
    <row r="19" spans="1:7" x14ac:dyDescent="0.2">
      <c r="A19" s="84">
        <v>13</v>
      </c>
      <c r="B19" s="72">
        <f t="shared" si="0"/>
        <v>565.24</v>
      </c>
      <c r="C19" s="72"/>
      <c r="D19" s="85"/>
      <c r="E19" s="81">
        <f t="shared" si="3"/>
        <v>315.40392000000003</v>
      </c>
      <c r="F19" s="83">
        <f t="shared" si="4"/>
        <v>52.567320000000009</v>
      </c>
      <c r="G19" s="70">
        <f t="shared" si="5"/>
        <v>617.80732</v>
      </c>
    </row>
    <row r="20" spans="1:7" x14ac:dyDescent="0.2">
      <c r="A20" s="86">
        <v>14</v>
      </c>
      <c r="B20" s="66">
        <f t="shared" si="0"/>
        <v>608.72</v>
      </c>
      <c r="C20" s="66"/>
      <c r="D20" s="87"/>
      <c r="E20" s="88">
        <f t="shared" si="3"/>
        <v>339.66575999999998</v>
      </c>
      <c r="F20" s="83">
        <f t="shared" si="4"/>
        <v>56.610960000000013</v>
      </c>
      <c r="G20" s="70">
        <f t="shared" si="5"/>
        <v>665.33096</v>
      </c>
    </row>
    <row r="21" spans="1:7" x14ac:dyDescent="0.2">
      <c r="A21" s="84">
        <v>15</v>
      </c>
      <c r="B21" s="72">
        <f t="shared" si="0"/>
        <v>652.20000000000005</v>
      </c>
      <c r="C21" s="72"/>
      <c r="D21" s="85"/>
      <c r="E21" s="88">
        <f t="shared" si="3"/>
        <v>363.92759999999998</v>
      </c>
      <c r="F21" s="83">
        <f t="shared" si="4"/>
        <v>60.654600000000016</v>
      </c>
      <c r="G21" s="70">
        <f t="shared" si="5"/>
        <v>712.85460000000012</v>
      </c>
    </row>
    <row r="22" spans="1:7" x14ac:dyDescent="0.2">
      <c r="A22" s="84">
        <v>16</v>
      </c>
      <c r="B22" s="72">
        <f t="shared" si="0"/>
        <v>695.68</v>
      </c>
      <c r="C22" s="72"/>
      <c r="D22" s="85"/>
      <c r="E22" s="88">
        <f t="shared" si="3"/>
        <v>388.18943999999999</v>
      </c>
      <c r="F22" s="83">
        <f t="shared" si="4"/>
        <v>64.698239999999998</v>
      </c>
      <c r="G22" s="70">
        <f t="shared" si="5"/>
        <v>760.37824000000001</v>
      </c>
    </row>
    <row r="23" spans="1:7" ht="15" thickBot="1" x14ac:dyDescent="0.25">
      <c r="A23" s="84">
        <v>17</v>
      </c>
      <c r="B23" s="72">
        <f t="shared" si="0"/>
        <v>739.16</v>
      </c>
      <c r="C23" s="72"/>
      <c r="D23" s="85"/>
      <c r="E23" s="88">
        <f t="shared" si="3"/>
        <v>412.45128</v>
      </c>
      <c r="F23" s="89">
        <f t="shared" si="4"/>
        <v>68.741880000000009</v>
      </c>
      <c r="G23" s="76">
        <f t="shared" si="5"/>
        <v>807.90188000000001</v>
      </c>
    </row>
    <row r="24" spans="1:7" x14ac:dyDescent="0.2">
      <c r="A24" s="90"/>
      <c r="B24" s="91"/>
      <c r="C24" s="92"/>
      <c r="D24" s="93"/>
      <c r="E24" s="93"/>
      <c r="F24" s="93"/>
      <c r="G24" s="93"/>
    </row>
    <row r="25" spans="1:7" x14ac:dyDescent="0.2">
      <c r="A25" s="90"/>
      <c r="B25" s="91"/>
      <c r="C25" s="92"/>
      <c r="D25" s="92"/>
      <c r="E25" s="94"/>
      <c r="F25" s="54"/>
      <c r="G25" s="39"/>
    </row>
    <row r="26" spans="1:7" x14ac:dyDescent="0.2">
      <c r="A26" s="54"/>
      <c r="B26" s="91"/>
      <c r="C26" s="39"/>
      <c r="D26" s="54"/>
      <c r="E26" s="54"/>
      <c r="F26" s="39"/>
      <c r="G26" s="95"/>
    </row>
    <row r="27" spans="1:7" x14ac:dyDescent="0.2">
      <c r="A27" s="45"/>
      <c r="B27" s="45"/>
      <c r="C27" s="45"/>
      <c r="D27" s="45"/>
      <c r="E27" s="45"/>
      <c r="F27" s="45"/>
      <c r="G27" s="45"/>
    </row>
    <row r="28" spans="1:7" x14ac:dyDescent="0.2">
      <c r="A28" s="39" t="s">
        <v>36</v>
      </c>
      <c r="B28" s="45"/>
      <c r="C28" s="45"/>
      <c r="D28" s="45"/>
      <c r="E28" s="45"/>
      <c r="F28" s="48"/>
      <c r="G28" s="48"/>
    </row>
    <row r="29" spans="1:7" x14ac:dyDescent="0.2">
      <c r="A29" s="40" t="s">
        <v>37</v>
      </c>
      <c r="B29" s="50"/>
      <c r="C29" s="45"/>
      <c r="D29" s="45"/>
      <c r="E29" s="45"/>
      <c r="F29" s="48"/>
      <c r="G29" s="48"/>
    </row>
    <row r="30" spans="1:7" x14ac:dyDescent="0.2">
      <c r="A30" s="40" t="s">
        <v>38</v>
      </c>
      <c r="B30" s="45"/>
      <c r="C30" s="45"/>
      <c r="D30" s="45"/>
      <c r="E30" s="45"/>
      <c r="F30" s="48"/>
      <c r="G30" s="48"/>
    </row>
    <row r="31" spans="1:7" x14ac:dyDescent="0.2">
      <c r="A31" s="40"/>
      <c r="B31" s="45"/>
      <c r="C31" s="40"/>
      <c r="D31" s="45"/>
      <c r="E31" s="45"/>
      <c r="F31" s="45"/>
      <c r="G31" s="45"/>
    </row>
    <row r="32" spans="1:7" x14ac:dyDescent="0.2">
      <c r="A32" s="45"/>
      <c r="B32" s="45"/>
      <c r="C32" s="45"/>
      <c r="D32" s="45"/>
      <c r="E32" s="45"/>
      <c r="F32" s="45"/>
      <c r="G32" s="45" t="s">
        <v>39</v>
      </c>
    </row>
    <row r="36" spans="1:6" x14ac:dyDescent="0.2">
      <c r="A36" s="96"/>
      <c r="B36" s="96"/>
      <c r="C36" s="96"/>
      <c r="D36" s="96"/>
      <c r="E36" s="96"/>
      <c r="F36" s="96"/>
    </row>
    <row r="37" spans="1:6" ht="16.5" thickBot="1" x14ac:dyDescent="0.3">
      <c r="A37" s="134" t="s">
        <v>41</v>
      </c>
      <c r="B37" s="135"/>
      <c r="C37" s="135"/>
      <c r="D37" s="135"/>
      <c r="E37" s="135"/>
      <c r="F37" s="136"/>
    </row>
    <row r="38" spans="1:6" ht="15" thickTop="1" x14ac:dyDescent="0.2">
      <c r="A38" s="96"/>
      <c r="B38" s="96"/>
      <c r="C38" s="96"/>
      <c r="D38" s="96"/>
      <c r="E38" s="96"/>
      <c r="F38" s="97"/>
    </row>
    <row r="39" spans="1:6" x14ac:dyDescent="0.2">
      <c r="A39" s="96"/>
      <c r="B39" s="96"/>
      <c r="C39" s="96" t="s">
        <v>24</v>
      </c>
      <c r="D39" s="96"/>
      <c r="E39" s="96"/>
      <c r="F39" s="96"/>
    </row>
    <row r="40" spans="1:6" x14ac:dyDescent="0.2">
      <c r="A40" s="96"/>
      <c r="B40" s="97"/>
      <c r="C40" s="96"/>
      <c r="D40" s="96"/>
      <c r="E40" s="96"/>
      <c r="F40" s="96"/>
    </row>
    <row r="41" spans="1:6" x14ac:dyDescent="0.2">
      <c r="A41" s="98" t="s">
        <v>42</v>
      </c>
      <c r="B41" s="98" t="s">
        <v>22</v>
      </c>
      <c r="C41" s="98" t="s">
        <v>43</v>
      </c>
      <c r="D41" s="99" t="s">
        <v>27</v>
      </c>
      <c r="E41" s="100" t="s">
        <v>29</v>
      </c>
      <c r="F41" s="101" t="s">
        <v>22</v>
      </c>
    </row>
    <row r="42" spans="1:6" ht="15" thickBot="1" x14ac:dyDescent="0.25">
      <c r="A42" s="102" t="s">
        <v>44</v>
      </c>
      <c r="B42" s="102" t="s">
        <v>45</v>
      </c>
      <c r="C42" s="102" t="s">
        <v>46</v>
      </c>
      <c r="D42" s="103" t="s">
        <v>33</v>
      </c>
      <c r="E42" s="104" t="s">
        <v>47</v>
      </c>
      <c r="F42" s="105" t="s">
        <v>48</v>
      </c>
    </row>
    <row r="43" spans="1:6" ht="15" thickTop="1" x14ac:dyDescent="0.2">
      <c r="A43" s="106">
        <v>3</v>
      </c>
      <c r="B43" s="107">
        <f t="shared" ref="B43:B57" si="6">A43*4.348*15</f>
        <v>195.66</v>
      </c>
      <c r="C43" s="107">
        <f>B43*28%</f>
        <v>54.784800000000004</v>
      </c>
      <c r="D43" s="108">
        <f t="shared" ref="D43:D46" si="7">B43+C43</f>
        <v>250.44479999999999</v>
      </c>
      <c r="E43" s="109">
        <f t="shared" ref="E43:E57" si="8">B43*9.3%</f>
        <v>18.196380000000001</v>
      </c>
      <c r="F43" s="110">
        <f>B43+E43</f>
        <v>213.85638</v>
      </c>
    </row>
    <row r="44" spans="1:6" x14ac:dyDescent="0.2">
      <c r="A44" s="111">
        <v>4</v>
      </c>
      <c r="B44" s="112">
        <f t="shared" si="6"/>
        <v>260.88</v>
      </c>
      <c r="C44" s="112">
        <f>B44*28%</f>
        <v>73.046400000000006</v>
      </c>
      <c r="D44" s="113">
        <f t="shared" si="7"/>
        <v>333.9264</v>
      </c>
      <c r="E44" s="109">
        <f t="shared" si="8"/>
        <v>24.261840000000003</v>
      </c>
      <c r="F44" s="110">
        <f t="shared" ref="F44:F46" si="9">B44+E44</f>
        <v>285.14184</v>
      </c>
    </row>
    <row r="45" spans="1:6" x14ac:dyDescent="0.2">
      <c r="A45" s="111">
        <v>5</v>
      </c>
      <c r="B45" s="112">
        <f t="shared" si="6"/>
        <v>326.09999999999997</v>
      </c>
      <c r="C45" s="112">
        <f>B45*28%</f>
        <v>91.307999999999993</v>
      </c>
      <c r="D45" s="113">
        <f t="shared" si="7"/>
        <v>417.40799999999996</v>
      </c>
      <c r="E45" s="109">
        <f t="shared" si="8"/>
        <v>30.327300000000001</v>
      </c>
      <c r="F45" s="110">
        <f t="shared" si="9"/>
        <v>356.42729999999995</v>
      </c>
    </row>
    <row r="46" spans="1:6" ht="15" thickBot="1" x14ac:dyDescent="0.25">
      <c r="A46" s="114">
        <v>6</v>
      </c>
      <c r="B46" s="115">
        <f t="shared" si="6"/>
        <v>391.32</v>
      </c>
      <c r="C46" s="115">
        <f>B46*28%</f>
        <v>109.56960000000001</v>
      </c>
      <c r="D46" s="116">
        <f t="shared" si="7"/>
        <v>500.88959999999997</v>
      </c>
      <c r="E46" s="109">
        <f t="shared" si="8"/>
        <v>36.392760000000003</v>
      </c>
      <c r="F46" s="110">
        <f t="shared" si="9"/>
        <v>427.71276</v>
      </c>
    </row>
    <row r="47" spans="1:6" x14ac:dyDescent="0.2">
      <c r="A47" s="117">
        <v>7</v>
      </c>
      <c r="B47" s="118">
        <f t="shared" si="6"/>
        <v>456.54</v>
      </c>
      <c r="C47" s="118"/>
      <c r="D47" s="119"/>
      <c r="E47" s="120">
        <f t="shared" si="8"/>
        <v>42.458220000000011</v>
      </c>
      <c r="F47" s="120">
        <f>B47+E47</f>
        <v>498.99822000000006</v>
      </c>
    </row>
    <row r="48" spans="1:6" x14ac:dyDescent="0.2">
      <c r="A48" s="121">
        <v>8</v>
      </c>
      <c r="B48" s="122">
        <f t="shared" si="6"/>
        <v>521.76</v>
      </c>
      <c r="C48" s="122"/>
      <c r="D48" s="123"/>
      <c r="E48" s="113">
        <f t="shared" si="8"/>
        <v>48.523680000000006</v>
      </c>
      <c r="F48" s="113">
        <f t="shared" ref="F48:F56" si="10">B48+E48</f>
        <v>570.28368</v>
      </c>
    </row>
    <row r="49" spans="1:6" x14ac:dyDescent="0.2">
      <c r="A49" s="121">
        <v>9</v>
      </c>
      <c r="B49" s="122">
        <f t="shared" si="6"/>
        <v>586.98</v>
      </c>
      <c r="C49" s="122"/>
      <c r="D49" s="123"/>
      <c r="E49" s="113">
        <f t="shared" si="8"/>
        <v>54.589140000000008</v>
      </c>
      <c r="F49" s="113">
        <f t="shared" si="10"/>
        <v>641.56914000000006</v>
      </c>
    </row>
    <row r="50" spans="1:6" x14ac:dyDescent="0.2">
      <c r="A50" s="121">
        <v>10</v>
      </c>
      <c r="B50" s="122">
        <f t="shared" si="6"/>
        <v>652.19999999999993</v>
      </c>
      <c r="C50" s="122"/>
      <c r="D50" s="123"/>
      <c r="E50" s="113">
        <f t="shared" si="8"/>
        <v>60.654600000000002</v>
      </c>
      <c r="F50" s="113">
        <f t="shared" si="10"/>
        <v>712.85459999999989</v>
      </c>
    </row>
    <row r="51" spans="1:6" x14ac:dyDescent="0.2">
      <c r="A51" s="121">
        <v>11</v>
      </c>
      <c r="B51" s="122">
        <f t="shared" si="6"/>
        <v>717.42</v>
      </c>
      <c r="C51" s="122"/>
      <c r="D51" s="123"/>
      <c r="E51" s="113">
        <f t="shared" si="8"/>
        <v>66.720060000000004</v>
      </c>
      <c r="F51" s="113">
        <f t="shared" si="10"/>
        <v>784.14005999999995</v>
      </c>
    </row>
    <row r="52" spans="1:6" x14ac:dyDescent="0.2">
      <c r="A52" s="121">
        <v>12</v>
      </c>
      <c r="B52" s="122">
        <f t="shared" si="6"/>
        <v>782.64</v>
      </c>
      <c r="C52" s="122"/>
      <c r="D52" s="124"/>
      <c r="E52" s="113">
        <f t="shared" si="8"/>
        <v>72.785520000000005</v>
      </c>
      <c r="F52" s="113">
        <f t="shared" si="10"/>
        <v>855.42552000000001</v>
      </c>
    </row>
    <row r="53" spans="1:6" x14ac:dyDescent="0.2">
      <c r="A53" s="121">
        <v>13</v>
      </c>
      <c r="B53" s="122">
        <f t="shared" si="6"/>
        <v>847.86</v>
      </c>
      <c r="C53" s="122"/>
      <c r="D53" s="124"/>
      <c r="E53" s="113">
        <f t="shared" si="8"/>
        <v>78.850980000000007</v>
      </c>
      <c r="F53" s="113">
        <f t="shared" si="10"/>
        <v>926.71098000000006</v>
      </c>
    </row>
    <row r="54" spans="1:6" x14ac:dyDescent="0.2">
      <c r="A54" s="121">
        <v>14</v>
      </c>
      <c r="B54" s="122">
        <f t="shared" si="6"/>
        <v>913.08</v>
      </c>
      <c r="C54" s="122"/>
      <c r="D54" s="124"/>
      <c r="E54" s="113">
        <f t="shared" si="8"/>
        <v>84.916440000000023</v>
      </c>
      <c r="F54" s="113">
        <f t="shared" si="10"/>
        <v>997.99644000000012</v>
      </c>
    </row>
    <row r="55" spans="1:6" x14ac:dyDescent="0.2">
      <c r="A55" s="121">
        <v>15</v>
      </c>
      <c r="B55" s="122">
        <f t="shared" si="6"/>
        <v>978.3</v>
      </c>
      <c r="C55" s="122"/>
      <c r="D55" s="124"/>
      <c r="E55" s="113">
        <f t="shared" si="8"/>
        <v>90.98190000000001</v>
      </c>
      <c r="F55" s="113">
        <f t="shared" si="10"/>
        <v>1069.2819</v>
      </c>
    </row>
    <row r="56" spans="1:6" x14ac:dyDescent="0.2">
      <c r="A56" s="121">
        <v>16</v>
      </c>
      <c r="B56" s="122">
        <f t="shared" si="6"/>
        <v>1043.52</v>
      </c>
      <c r="C56" s="122"/>
      <c r="D56" s="124"/>
      <c r="E56" s="113">
        <f t="shared" si="8"/>
        <v>97.047360000000012</v>
      </c>
      <c r="F56" s="113">
        <f t="shared" si="10"/>
        <v>1140.56736</v>
      </c>
    </row>
    <row r="57" spans="1:6" ht="15" thickBot="1" x14ac:dyDescent="0.25">
      <c r="A57" s="121">
        <v>17</v>
      </c>
      <c r="B57" s="122">
        <f t="shared" si="6"/>
        <v>1108.74</v>
      </c>
      <c r="C57" s="122"/>
      <c r="D57" s="124"/>
      <c r="E57" s="116">
        <f t="shared" si="8"/>
        <v>103.11282000000001</v>
      </c>
      <c r="F57" s="116">
        <f>B57+E57</f>
        <v>1211.8528200000001</v>
      </c>
    </row>
    <row r="58" spans="1:6" x14ac:dyDescent="0.2">
      <c r="A58" s="97"/>
      <c r="B58" s="97"/>
      <c r="C58" s="97"/>
      <c r="D58" s="97"/>
      <c r="E58" s="97"/>
      <c r="F58" s="97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97" t="s">
        <v>49</v>
      </c>
      <c r="B60" s="125"/>
      <c r="C60" s="125"/>
      <c r="D60" s="125"/>
      <c r="E60" s="125"/>
      <c r="F60" s="125"/>
    </row>
    <row r="61" spans="1:6" x14ac:dyDescent="0.2">
      <c r="A61" s="126" t="s">
        <v>50</v>
      </c>
      <c r="B61" s="127"/>
      <c r="C61" s="127"/>
      <c r="D61" s="127"/>
      <c r="E61" s="127"/>
      <c r="F61" s="127"/>
    </row>
    <row r="62" spans="1:6" x14ac:dyDescent="0.2">
      <c r="A62" s="128" t="s">
        <v>51</v>
      </c>
      <c r="B62" s="125"/>
      <c r="C62" s="125"/>
      <c r="D62" s="125"/>
      <c r="E62" s="125"/>
      <c r="F62" s="15"/>
    </row>
    <row r="63" spans="1:6" x14ac:dyDescent="0.2">
      <c r="A63" s="128"/>
      <c r="B63" s="125"/>
      <c r="C63" s="125"/>
      <c r="D63" s="125"/>
      <c r="E63" s="125"/>
      <c r="F63" s="12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25"/>
      <c r="B65" s="125"/>
      <c r="C65" s="125"/>
      <c r="D65" s="125"/>
      <c r="E65" s="125"/>
      <c r="F65" s="125" t="s">
        <v>39</v>
      </c>
    </row>
  </sheetData>
  <sheetProtection algorithmName="SHA-512" hashValue="DGclZjOCz2LHeohqI+kXke3Kg4m/Inf6XrY6TZVwrdkzQqLrHw9GLR21vBVL72HR6zB6NkKuSL8oZYORlpiAGg==" saltValue="FLp7KGuuEJcAKuvfrD/Eag==" spinCount="100000" sheet="1" objects="1" scenarios="1" selectLockedCells="1" selectUnlockedCells="1"/>
  <mergeCells count="2">
    <mergeCell ref="A2:G2"/>
    <mergeCell ref="A37:F3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Vergütungstabelle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Püschel (bpuesche)</dc:creator>
  <cp:lastModifiedBy>Sandra Meyer (smeyer8)</cp:lastModifiedBy>
  <dcterms:created xsi:type="dcterms:W3CDTF">2021-03-10T08:41:16Z</dcterms:created>
  <dcterms:modified xsi:type="dcterms:W3CDTF">2021-04-16T10:27:53Z</dcterms:modified>
</cp:coreProperties>
</file>